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Ospina\Desktop\"/>
    </mc:Choice>
  </mc:AlternateContent>
  <xr:revisionPtr revIDLastSave="0" documentId="13_ncr:1_{9F27240B-5560-4E70-A17D-6700A7931B61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Informe 6-5" sheetId="1" state="hidden" r:id="rId1"/>
    <sheet name="informe PARCIAL 3 periodo" sheetId="5" r:id="rId2"/>
    <sheet name="INFORME PARCIAL 3ER PERIODO" sheetId="2" r:id="rId3"/>
    <sheet name="Informe" sheetId="11" state="hidden" r:id="rId4"/>
    <sheet name="Hoja3" sheetId="12" state="hidden" r:id="rId5"/>
    <sheet name="Estadisticas" sheetId="6" state="hidden" r:id="rId6"/>
    <sheet name="Estadisticas IPERIODO" sheetId="10" state="hidden" r:id="rId7"/>
    <sheet name="Hoja2" sheetId="7" state="hidden" r:id="rId8"/>
    <sheet name="Hoja1" sheetId="8" state="hidden" r:id="rId9"/>
  </sheets>
  <definedNames>
    <definedName name="BDNOTAS" localSheetId="5">Estadisticas!$1:$1048576</definedName>
    <definedName name="BDNOTAS" localSheetId="6">'Estadisticas IPERIODO'!$1:$1048576</definedName>
    <definedName name="BDNOTAS">'informe PARCIAL 3 periodo'!$1:$1048576</definedName>
    <definedName name="BDNOTAS2">#REF!</definedName>
    <definedName name="CONSOLIDADOI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" i="5" l="1"/>
  <c r="AL8" i="5"/>
  <c r="AL7" i="5"/>
  <c r="AK9" i="5"/>
  <c r="AK8" i="5"/>
  <c r="AK7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5" i="5"/>
  <c r="AF6" i="5"/>
  <c r="AF7" i="5"/>
  <c r="AF8" i="5"/>
  <c r="AF9" i="5"/>
  <c r="AF10" i="5"/>
  <c r="AF11" i="5"/>
  <c r="AF13" i="5"/>
  <c r="AF14" i="5"/>
  <c r="AF16" i="5"/>
  <c r="AF17" i="5"/>
  <c r="AF18" i="5"/>
  <c r="AF19" i="5"/>
  <c r="AF20" i="5"/>
  <c r="AF21" i="5"/>
  <c r="AF22" i="5"/>
  <c r="AF23" i="5"/>
  <c r="AF24" i="5"/>
  <c r="AF25" i="5"/>
  <c r="AF26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5" i="5"/>
  <c r="C2" i="11" l="1"/>
  <c r="C5" i="11"/>
  <c r="C3" i="11"/>
  <c r="C4" i="11"/>
  <c r="C6" i="2"/>
  <c r="C6" i="11" l="1"/>
  <c r="D5" i="11" s="1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D44" i="5"/>
  <c r="D3" i="11" l="1"/>
  <c r="D2" i="11"/>
  <c r="D4" i="11"/>
  <c r="AE38" i="5"/>
  <c r="D9" i="2" l="1"/>
  <c r="Y6" i="5"/>
  <c r="Y7" i="5"/>
  <c r="Y8" i="5"/>
  <c r="Y9" i="5"/>
  <c r="Y10" i="5"/>
  <c r="Y11" i="5"/>
  <c r="Y13" i="5"/>
  <c r="Y14" i="5"/>
  <c r="Y16" i="5"/>
  <c r="Y17" i="5"/>
  <c r="Y18" i="5"/>
  <c r="Y19" i="5"/>
  <c r="Y20" i="5"/>
  <c r="Y21" i="5"/>
  <c r="Y22" i="5"/>
  <c r="Y23" i="5"/>
  <c r="Y24" i="5"/>
  <c r="Y25" i="5"/>
  <c r="Y26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5" i="5"/>
  <c r="X7" i="5"/>
  <c r="X6" i="5"/>
  <c r="X8" i="5"/>
  <c r="W8" i="5" s="1"/>
  <c r="X9" i="5"/>
  <c r="X10" i="5"/>
  <c r="X11" i="5"/>
  <c r="W11" i="5" s="1"/>
  <c r="X13" i="5"/>
  <c r="W13" i="5" s="1"/>
  <c r="X14" i="5"/>
  <c r="W14" i="5" s="1"/>
  <c r="X16" i="5"/>
  <c r="X17" i="5"/>
  <c r="W17" i="5" s="1"/>
  <c r="X18" i="5"/>
  <c r="W18" i="5" s="1"/>
  <c r="X19" i="5"/>
  <c r="W19" i="5" s="1"/>
  <c r="X20" i="5"/>
  <c r="X21" i="5"/>
  <c r="X22" i="5"/>
  <c r="W22" i="5" s="1"/>
  <c r="X23" i="5"/>
  <c r="X24" i="5"/>
  <c r="W24" i="5" s="1"/>
  <c r="X25" i="5"/>
  <c r="X26" i="5"/>
  <c r="W26" i="5" s="1"/>
  <c r="X28" i="5"/>
  <c r="X29" i="5"/>
  <c r="W29" i="5" s="1"/>
  <c r="X30" i="5"/>
  <c r="X31" i="5"/>
  <c r="W31" i="5" s="1"/>
  <c r="X32" i="5"/>
  <c r="W32" i="5" s="1"/>
  <c r="X33" i="5"/>
  <c r="W33" i="5" s="1"/>
  <c r="X34" i="5"/>
  <c r="X35" i="5"/>
  <c r="W35" i="5" s="1"/>
  <c r="X36" i="5"/>
  <c r="W36" i="5" s="1"/>
  <c r="X37" i="5"/>
  <c r="W37" i="5" s="1"/>
  <c r="X38" i="5"/>
  <c r="X39" i="5"/>
  <c r="W39" i="5" s="1"/>
  <c r="X40" i="5"/>
  <c r="W40" i="5" s="1"/>
  <c r="X41" i="5"/>
  <c r="X42" i="5"/>
  <c r="W42" i="5" s="1"/>
  <c r="X43" i="5"/>
  <c r="X5" i="5"/>
  <c r="W5" i="5" s="1"/>
  <c r="D27" i="2"/>
  <c r="D16" i="2"/>
  <c r="D15" i="2"/>
  <c r="D14" i="2"/>
  <c r="D13" i="2"/>
  <c r="N6" i="10"/>
  <c r="N7" i="10"/>
  <c r="N8" i="10"/>
  <c r="N9" i="10"/>
  <c r="N10" i="10"/>
  <c r="Q13" i="10" s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5" i="10"/>
  <c r="L27" i="7"/>
  <c r="M27" i="7" s="1"/>
  <c r="M2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5" i="6"/>
  <c r="Q11" i="6" s="1"/>
  <c r="L41" i="6"/>
  <c r="L42" i="6" s="1"/>
  <c r="I41" i="6"/>
  <c r="I42" i="6" s="1"/>
  <c r="H41" i="6"/>
  <c r="H42" i="6" s="1"/>
  <c r="G41" i="6"/>
  <c r="G42" i="6" s="1"/>
  <c r="F41" i="6"/>
  <c r="F42" i="6" s="1"/>
  <c r="E41" i="6"/>
  <c r="E42" i="6" s="1"/>
  <c r="D26" i="2"/>
  <c r="D25" i="2"/>
  <c r="D24" i="2"/>
  <c r="D23" i="2"/>
  <c r="D22" i="2"/>
  <c r="D21" i="2"/>
  <c r="D20" i="2"/>
  <c r="D19" i="2"/>
  <c r="D18" i="2"/>
  <c r="D17" i="2"/>
  <c r="D12" i="2"/>
  <c r="D11" i="2"/>
  <c r="D10" i="2"/>
  <c r="C22" i="1"/>
  <c r="C16" i="1"/>
  <c r="C21" i="1"/>
  <c r="C28" i="1"/>
  <c r="C15" i="1"/>
  <c r="C10" i="1"/>
  <c r="C13" i="1"/>
  <c r="C3" i="1"/>
  <c r="C12" i="1"/>
  <c r="C7" i="1"/>
  <c r="C17" i="1"/>
  <c r="C6" i="1"/>
  <c r="C11" i="1"/>
  <c r="C19" i="1"/>
  <c r="C9" i="1"/>
  <c r="C14" i="1"/>
  <c r="C4" i="1"/>
  <c r="C8" i="1"/>
  <c r="C20" i="1"/>
  <c r="C18" i="1"/>
  <c r="C5" i="1"/>
  <c r="C27" i="1"/>
  <c r="C29" i="1" s="1"/>
  <c r="C5" i="8"/>
  <c r="AA7" i="5" l="1"/>
  <c r="Q8" i="6"/>
  <c r="Q10" i="6"/>
  <c r="AA6" i="5"/>
  <c r="Q15" i="10"/>
  <c r="Q12" i="10"/>
  <c r="C12" i="8"/>
  <c r="C7" i="8"/>
  <c r="AA28" i="5"/>
  <c r="W9" i="5"/>
  <c r="Z9" i="5"/>
  <c r="Q15" i="6"/>
  <c r="AA20" i="5"/>
  <c r="AA10" i="5"/>
  <c r="AA41" i="5"/>
  <c r="AA30" i="5"/>
  <c r="AA23" i="5"/>
  <c r="Q7" i="10"/>
  <c r="Q6" i="10"/>
  <c r="Q8" i="10"/>
  <c r="Q6" i="6"/>
  <c r="AA16" i="5"/>
  <c r="Q9" i="10"/>
  <c r="C8" i="8"/>
  <c r="Q13" i="6"/>
  <c r="Q11" i="10"/>
  <c r="C11" i="8"/>
  <c r="Q9" i="6"/>
  <c r="C13" i="8"/>
  <c r="W41" i="5"/>
  <c r="AA38" i="5"/>
  <c r="AA25" i="5"/>
  <c r="C4" i="8"/>
  <c r="B25" i="8" s="1"/>
  <c r="M41" i="6"/>
  <c r="M42" i="6" s="1"/>
  <c r="Q14" i="10"/>
  <c r="W28" i="5"/>
  <c r="Q14" i="6"/>
  <c r="W23" i="5"/>
  <c r="AA34" i="5"/>
  <c r="AA21" i="5"/>
  <c r="C10" i="8"/>
  <c r="C6" i="8"/>
  <c r="Q10" i="10"/>
  <c r="C9" i="8"/>
  <c r="Q7" i="6"/>
  <c r="AA43" i="5"/>
  <c r="AA32" i="5"/>
  <c r="Z42" i="5"/>
  <c r="Z40" i="5"/>
  <c r="Z39" i="5"/>
  <c r="Z37" i="5"/>
  <c r="Z35" i="5"/>
  <c r="Z33" i="5"/>
  <c r="Z31" i="5"/>
  <c r="Z29" i="5"/>
  <c r="Z26" i="5"/>
  <c r="Z24" i="5"/>
  <c r="Z22" i="5"/>
  <c r="Z20" i="5"/>
  <c r="Z18" i="5"/>
  <c r="Z16" i="5"/>
  <c r="Z13" i="5"/>
  <c r="Z10" i="5"/>
  <c r="Z8" i="5"/>
  <c r="Z6" i="5"/>
  <c r="AA5" i="5"/>
  <c r="AA42" i="5"/>
  <c r="AA40" i="5"/>
  <c r="AA39" i="5"/>
  <c r="AA37" i="5"/>
  <c r="AA35" i="5"/>
  <c r="AA33" i="5"/>
  <c r="AA31" i="5"/>
  <c r="AA29" i="5"/>
  <c r="AA26" i="5"/>
  <c r="AA24" i="5"/>
  <c r="AA22" i="5"/>
  <c r="AA18" i="5"/>
  <c r="AA13" i="5"/>
  <c r="AA8" i="5"/>
  <c r="Q12" i="6"/>
  <c r="Z43" i="5"/>
  <c r="Z41" i="5"/>
  <c r="Z38" i="5"/>
  <c r="Z36" i="5"/>
  <c r="Z34" i="5"/>
  <c r="Z32" i="5"/>
  <c r="Z30" i="5"/>
  <c r="Z28" i="5"/>
  <c r="Z25" i="5"/>
  <c r="Z23" i="5"/>
  <c r="Z21" i="5"/>
  <c r="Z19" i="5"/>
  <c r="Z17" i="5"/>
  <c r="Z14" i="5"/>
  <c r="Z11" i="5"/>
  <c r="Z7" i="5"/>
  <c r="Z5" i="5"/>
  <c r="AA36" i="5"/>
  <c r="AA19" i="5"/>
  <c r="AA17" i="5"/>
  <c r="AA14" i="5"/>
  <c r="AA11" i="5"/>
  <c r="AA9" i="5"/>
  <c r="W16" i="5"/>
  <c r="W7" i="5"/>
  <c r="D28" i="2"/>
  <c r="G11" i="2" s="1"/>
  <c r="W43" i="5"/>
  <c r="W10" i="5"/>
  <c r="W38" i="5"/>
  <c r="W34" i="5"/>
  <c r="W30" i="5"/>
  <c r="W25" i="5"/>
  <c r="W21" i="5"/>
  <c r="W6" i="5"/>
  <c r="D27" i="1"/>
  <c r="D29" i="1" s="1"/>
  <c r="D28" i="1"/>
  <c r="B40" i="8"/>
  <c r="B41" i="8" l="1"/>
  <c r="AC58" i="5"/>
  <c r="AD58" i="5" s="1"/>
  <c r="AD16" i="5"/>
  <c r="AD13" i="5"/>
  <c r="AD10" i="5"/>
  <c r="AD8" i="5"/>
  <c r="AD17" i="5"/>
  <c r="AD14" i="5"/>
  <c r="AD11" i="5"/>
  <c r="AD9" i="5"/>
  <c r="AD7" i="5"/>
  <c r="Q16" i="6"/>
  <c r="R8" i="6" s="1"/>
  <c r="C14" i="8"/>
  <c r="D11" i="8" s="1"/>
  <c r="Q21" i="6"/>
  <c r="B26" i="8"/>
  <c r="C26" i="8" s="1"/>
  <c r="Q16" i="10"/>
  <c r="Q21" i="10"/>
  <c r="R13" i="6"/>
  <c r="R7" i="6"/>
  <c r="R6" i="6"/>
  <c r="AC60" i="5"/>
  <c r="AD60" i="5" s="1"/>
  <c r="AC59" i="5"/>
  <c r="AD59" i="5" s="1"/>
  <c r="D9" i="8"/>
  <c r="C25" i="8"/>
  <c r="D10" i="8"/>
  <c r="D8" i="8"/>
  <c r="D12" i="8"/>
  <c r="D7" i="8"/>
  <c r="D4" i="8"/>
  <c r="D5" i="8"/>
  <c r="B42" i="8"/>
  <c r="C40" i="8" s="1"/>
  <c r="D13" i="8"/>
  <c r="R10" i="6" l="1"/>
  <c r="R15" i="6"/>
  <c r="R12" i="6"/>
  <c r="R14" i="6"/>
  <c r="R11" i="6"/>
  <c r="R9" i="6"/>
  <c r="D6" i="8"/>
  <c r="R8" i="10"/>
  <c r="R10" i="10"/>
  <c r="R15" i="10"/>
  <c r="R14" i="10"/>
  <c r="R11" i="10"/>
  <c r="R9" i="10"/>
  <c r="R6" i="10"/>
  <c r="R12" i="10"/>
  <c r="R7" i="10"/>
  <c r="R13" i="10"/>
  <c r="C41" i="8"/>
  <c r="D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F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G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I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J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K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M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N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O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Q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R3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S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T3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V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W43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B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B1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B1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B1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B1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B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B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B19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B2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B21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B2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B2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Geometria</t>
        </r>
      </text>
    </comment>
    <comment ref="B24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B2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B27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G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H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L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M4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M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F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G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H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I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J3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M3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N44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N4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sharedStrings.xml><?xml version="1.0" encoding="utf-8"?>
<sst xmlns="http://schemas.openxmlformats.org/spreadsheetml/2006/main" count="818" uniqueCount="326">
  <si>
    <t>Nro</t>
  </si>
  <si>
    <t>Matric</t>
  </si>
  <si>
    <t>Nombres Y Apellidos</t>
  </si>
  <si>
    <t>Ciencias Naturales</t>
  </si>
  <si>
    <t>Ciencias De La Investigacion</t>
  </si>
  <si>
    <t>Ciencias Sociales (historia, Geografía, Constitución Política Y Democracia.)</t>
  </si>
  <si>
    <t>Educación Artistica Y Cultural</t>
  </si>
  <si>
    <t>Educacion Etica  Y  En Valores Humanos</t>
  </si>
  <si>
    <t>Educación Física, Recreación Y Deportes</t>
  </si>
  <si>
    <t>Educacion Religiosa</t>
  </si>
  <si>
    <t>Lengua Castellana</t>
  </si>
  <si>
    <t>Idioma Extranjero</t>
  </si>
  <si>
    <t>Lectoescritura</t>
  </si>
  <si>
    <t>Estadistica</t>
  </si>
  <si>
    <t>Matematicas.</t>
  </si>
  <si>
    <t>Informatica</t>
  </si>
  <si>
    <t>Tecnologia</t>
  </si>
  <si>
    <t>Grupo:</t>
  </si>
  <si>
    <t>Director:</t>
  </si>
  <si>
    <t>Ospina Moreno Javier</t>
  </si>
  <si>
    <t>No Aprobados</t>
  </si>
  <si>
    <t>6º-05</t>
  </si>
  <si>
    <t>cantidad de materias</t>
  </si>
  <si>
    <t># de estudiantes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</si>
  <si>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</si>
  <si>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</si>
  <si>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</si>
  <si>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</si>
  <si>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</si>
  <si>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</si>
  <si>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</si>
  <si>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</si>
  <si>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</si>
  <si>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</si>
  <si>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</si>
  <si>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</si>
  <si>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</si>
  <si>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</si>
  <si>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</si>
  <si>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</si>
  <si>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</si>
  <si>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</si>
  <si>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</si>
  <si>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</si>
  <si>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Obbservación</t>
  </si>
  <si>
    <t>Aprobando</t>
  </si>
  <si>
    <t>Reprobando</t>
  </si>
  <si>
    <t>%</t>
  </si>
  <si>
    <t>Total Estudiantes</t>
  </si>
  <si>
    <t>X</t>
  </si>
  <si>
    <t>MATERIA</t>
  </si>
  <si>
    <t>Estudiante:</t>
  </si>
  <si>
    <t>INSTITUCION EDUCATIVA ANGELA RESTREPO MORENO</t>
  </si>
  <si>
    <t>Codigo:</t>
  </si>
  <si>
    <t>Materias que van perdiendo hasta el momento</t>
  </si>
  <si>
    <t>100009</t>
  </si>
  <si>
    <t xml:space="preserve">AGUDELO HERNANDEZ PAULINA </t>
  </si>
  <si>
    <t>140201</t>
  </si>
  <si>
    <t xml:space="preserve">ARANGO MADRID  ANDERSON  </t>
  </si>
  <si>
    <t>140035</t>
  </si>
  <si>
    <t xml:space="preserve">BEDOYA PEREZ MARIA  ESTEFANIA </t>
  </si>
  <si>
    <t>080095</t>
  </si>
  <si>
    <t>BENITEZ GALLO YHOJAN ESLY</t>
  </si>
  <si>
    <t>140210</t>
  </si>
  <si>
    <t xml:space="preserve">BERRIO  PEREZ VANESA </t>
  </si>
  <si>
    <t>120301</t>
  </si>
  <si>
    <t>BLANDON RAMIREZ JUAN JOSE</t>
  </si>
  <si>
    <t>160105</t>
  </si>
  <si>
    <t>CAICEDO  QUINTERO KAREN DAYANA</t>
  </si>
  <si>
    <t>090171</t>
  </si>
  <si>
    <t xml:space="preserve">CASTAÑO GARRO VALENTIN </t>
  </si>
  <si>
    <t>160079</t>
  </si>
  <si>
    <t>CASTAÑO  HERRERA MICHELLE DAYANA</t>
  </si>
  <si>
    <t>150164</t>
  </si>
  <si>
    <t xml:space="preserve">CHAVERRA MARULANDA YOJAN </t>
  </si>
  <si>
    <t>160238</t>
  </si>
  <si>
    <t xml:space="preserve">ECHAVARRIA AGUDELO ESTEFANIA </t>
  </si>
  <si>
    <t>120385</t>
  </si>
  <si>
    <t xml:space="preserve">ESPINOSA QUIRAMA MANUELA </t>
  </si>
  <si>
    <t>110174</t>
  </si>
  <si>
    <t>GARCIA BUITRAGO KEVIN ANDRES</t>
  </si>
  <si>
    <t>140234</t>
  </si>
  <si>
    <t>GIL  AGUIRRE YANCELLY FERNANDA</t>
  </si>
  <si>
    <t>120478</t>
  </si>
  <si>
    <t xml:space="preserve">GONZALEZ GAVIRIA VALENTINA </t>
  </si>
  <si>
    <t>150692</t>
  </si>
  <si>
    <t>GONZALEZ MARIN NATALIA ANDREA</t>
  </si>
  <si>
    <t>150248</t>
  </si>
  <si>
    <t xml:space="preserve">GUTIERREZ CASTAÑO YEFERSON </t>
  </si>
  <si>
    <t>140060</t>
  </si>
  <si>
    <t xml:space="preserve">HOYOS  MUÑOZ  SARA  MICHELLE </t>
  </si>
  <si>
    <t>130508</t>
  </si>
  <si>
    <t xml:space="preserve">MENESES HERRERA JUNIOR </t>
  </si>
  <si>
    <t>120375</t>
  </si>
  <si>
    <t xml:space="preserve">MUÑOZ JARAMILLO DARNELLY </t>
  </si>
  <si>
    <t>160215</t>
  </si>
  <si>
    <t xml:space="preserve">MUÑOZ ZAPATA CAROLINA </t>
  </si>
  <si>
    <t>150093</t>
  </si>
  <si>
    <t>MURILLO GRACIANO CARLOS DANIEL</t>
  </si>
  <si>
    <t>150092</t>
  </si>
  <si>
    <t xml:space="preserve">MURILLO  GRACIANO VALENTINA </t>
  </si>
  <si>
    <t>140290</t>
  </si>
  <si>
    <t xml:space="preserve">MURILLO HERNANDEZ FERNEY </t>
  </si>
  <si>
    <t>140028</t>
  </si>
  <si>
    <t>PARRA SANTAMARIA JUAN  ALEJANDRO</t>
  </si>
  <si>
    <t>090636</t>
  </si>
  <si>
    <t>PULGARIN AGUIRRE BENJHE ALEJANDRO</t>
  </si>
  <si>
    <t>080635</t>
  </si>
  <si>
    <t>QUIROZ ZAPATA DARWIN STIWAR</t>
  </si>
  <si>
    <t>140066</t>
  </si>
  <si>
    <t xml:space="preserve">RESTREPO GARCIA  LUISA  FERNANDA </t>
  </si>
  <si>
    <t>160144</t>
  </si>
  <si>
    <t>ROJAS FONTALVO ANGELA ELIZABETH</t>
  </si>
  <si>
    <t>140052</t>
  </si>
  <si>
    <t>ROJAS LONDOÑO KEVIN  ALEJANDRO</t>
  </si>
  <si>
    <t>130257</t>
  </si>
  <si>
    <t>SERNA BUILES DANIEL SEBASTIAN</t>
  </si>
  <si>
    <t>090792</t>
  </si>
  <si>
    <t>SUAREZ VILLARREAL LAUREN TATIANA</t>
  </si>
  <si>
    <t>120388</t>
  </si>
  <si>
    <t xml:space="preserve">TABARES OSPINA YOSSELIN </t>
  </si>
  <si>
    <t>160043</t>
  </si>
  <si>
    <t xml:space="preserve">TUBERQUIA  AYALA  CRISTIAN  ESTIVEN </t>
  </si>
  <si>
    <t>160049</t>
  </si>
  <si>
    <t xml:space="preserve">VANEGAS  VERGARA SOFIA </t>
  </si>
  <si>
    <t>Tecnologia e Informatica</t>
  </si>
  <si>
    <t>Area Humanidades</t>
  </si>
  <si>
    <t>Area de Ciencias</t>
  </si>
  <si>
    <t>Area de Matematicas</t>
  </si>
  <si>
    <t>Area de Humanidades</t>
  </si>
  <si>
    <t>Area de Tecnología e Informatica</t>
  </si>
  <si>
    <t>Area de Metemáticas</t>
  </si>
  <si>
    <t>Marematicas</t>
  </si>
  <si>
    <t># de Areas</t>
  </si>
  <si>
    <t>Areas Reprobadas</t>
  </si>
  <si>
    <t>Educacion Religiosa Y Etica</t>
  </si>
  <si>
    <t>Orientacion Vocacional</t>
  </si>
  <si>
    <t># Areas</t>
  </si>
  <si>
    <t># Estudiantes</t>
  </si>
  <si>
    <t>Cero areas</t>
  </si>
  <si>
    <t>una o más</t>
  </si>
  <si>
    <t>ALZATE  BURITICA JOSE  DAVID</t>
  </si>
  <si>
    <t>AMIGO MENDOZA AYLEN CAROLINA</t>
  </si>
  <si>
    <t>ARIAS GIRALDO LUISA NALLELI</t>
  </si>
  <si>
    <t>ATILANO ALVAREZ MARIA FERNANDA</t>
  </si>
  <si>
    <t>BECERRA VIDALES EMANUEL</t>
  </si>
  <si>
    <t>BEDOYA ECHEVERRI SEBASTIAN</t>
  </si>
  <si>
    <t>CARDENAS  HERNANDEZ SOLANLLY</t>
  </si>
  <si>
    <t>CARDENAS LOAIZA KEVIN</t>
  </si>
  <si>
    <t>CARDONA LOPEZ YEIMI  ALEJANDRA</t>
  </si>
  <si>
    <t>CARMONA  LOPEZ SAMUEL</t>
  </si>
  <si>
    <t>DOMINGUEZ ORTEGA ANA MARIA</t>
  </si>
  <si>
    <t>FITZGERALD MORENO MARIA ALEJANDRA</t>
  </si>
  <si>
    <t>GARCIA FRANCO  KEVIN  CAMILO</t>
  </si>
  <si>
    <t>GARRO GARCIA NIKOL BITIANIS</t>
  </si>
  <si>
    <t>GIRALDO MARQUEZ CRISTIAN MATEO</t>
  </si>
  <si>
    <t>GRANADA OQUENDO MARIA JOAQUINA</t>
  </si>
  <si>
    <t>GUTIERREZ BEDOYA MIGUEL ANGEL</t>
  </si>
  <si>
    <t>HENAO  ORREGO ARELIS MADIBA</t>
  </si>
  <si>
    <t>HERRERA TABORDA ISABELLA</t>
  </si>
  <si>
    <t>HINCAPIE RAMIREZ ISABELA</t>
  </si>
  <si>
    <t>HINCAPIE RAMIREZ TOMAS</t>
  </si>
  <si>
    <t>LOAIZA GARCIA NICOL VANESSA</t>
  </si>
  <si>
    <t>MARIN FRANCO HERMES MAURICIO</t>
  </si>
  <si>
    <t>MAZO CASTAÑEDA  ELIZABETH</t>
  </si>
  <si>
    <t>MEDINA RUEDA JUANA YULIANA</t>
  </si>
  <si>
    <t>MONTOYA  CANO XIMENA</t>
  </si>
  <si>
    <t>MOZO VIVAS SEBASTIAN</t>
  </si>
  <si>
    <t>MUÑOZ GALLEGO NEIDER</t>
  </si>
  <si>
    <t>OCHOA SUAREZ MARIA JOSE</t>
  </si>
  <si>
    <t>RENDON  LONDOÑO BRIAN  STEVEN</t>
  </si>
  <si>
    <t>RESTREPO  MONSALVE  KENNET</t>
  </si>
  <si>
    <t>REYES MERCADO JACKELINE ANDREA</t>
  </si>
  <si>
    <t>RICO ZEA DENNIS JHONAYMA</t>
  </si>
  <si>
    <t>RUEDA GIL DANIEL ANDRES</t>
  </si>
  <si>
    <t>SANCHEZ VASQUEZ VICTOR DAVID</t>
  </si>
  <si>
    <t>SOLANO PEREZ JULIO  CESAR</t>
  </si>
  <si>
    <t>TANGARIFE LEGARDA LUISA  FERNANDA</t>
  </si>
  <si>
    <t>URAN URREGO ELIZABETH</t>
  </si>
  <si>
    <t>VANEGAS CORTES SARA</t>
  </si>
  <si>
    <t>VASQUEZ LOAIZA LINA MARCELA</t>
  </si>
  <si>
    <t>YEPES RODRIGUEZ JUAN JOSE</t>
  </si>
  <si>
    <t>170100</t>
  </si>
  <si>
    <t>170086</t>
  </si>
  <si>
    <t>080057</t>
  </si>
  <si>
    <t>090076</t>
  </si>
  <si>
    <t>100050</t>
  </si>
  <si>
    <t>150244</t>
  </si>
  <si>
    <t>150057</t>
  </si>
  <si>
    <t>170214</t>
  </si>
  <si>
    <t>170285</t>
  </si>
  <si>
    <t>170102</t>
  </si>
  <si>
    <t>100125</t>
  </si>
  <si>
    <t>150688</t>
  </si>
  <si>
    <t>140392</t>
  </si>
  <si>
    <t>140359</t>
  </si>
  <si>
    <t>100171</t>
  </si>
  <si>
    <t>120228</t>
  </si>
  <si>
    <t>090363</t>
  </si>
  <si>
    <t>170228</t>
  </si>
  <si>
    <t>130388</t>
  </si>
  <si>
    <t>140335</t>
  </si>
  <si>
    <t>140336</t>
  </si>
  <si>
    <t>130284</t>
  </si>
  <si>
    <t>170097</t>
  </si>
  <si>
    <t>170259</t>
  </si>
  <si>
    <t>120453</t>
  </si>
  <si>
    <t>170273</t>
  </si>
  <si>
    <t>170024</t>
  </si>
  <si>
    <t>141029</t>
  </si>
  <si>
    <t>130501</t>
  </si>
  <si>
    <t>170088</t>
  </si>
  <si>
    <t>180051</t>
  </si>
  <si>
    <t>130232</t>
  </si>
  <si>
    <t>100568</t>
  </si>
  <si>
    <t>110614</t>
  </si>
  <si>
    <t>170307</t>
  </si>
  <si>
    <t>170060</t>
  </si>
  <si>
    <t>170301</t>
  </si>
  <si>
    <t>100460</t>
  </si>
  <si>
    <t>120351</t>
  </si>
  <si>
    <t>080796</t>
  </si>
  <si>
    <t>090883</t>
  </si>
  <si>
    <t>BENITES JHOJAN ESLY</t>
  </si>
  <si>
    <t>CORREA MEDINA MELISSA</t>
  </si>
  <si>
    <t>Historia de Colombia</t>
  </si>
  <si>
    <t>Historia Colombia</t>
  </si>
  <si>
    <t>Sociales</t>
  </si>
  <si>
    <t>COMPUESTAS</t>
  </si>
  <si>
    <t>SIMPLES</t>
  </si>
  <si>
    <t>OBSERVACION</t>
  </si>
  <si>
    <t>Quedan con logros pendientes</t>
  </si>
  <si>
    <t>Fa</t>
  </si>
  <si>
    <t>Fr</t>
  </si>
  <si>
    <t>Tu año esta en riesgo de perderse</t>
  </si>
  <si>
    <t>Total estudiantes</t>
  </si>
  <si>
    <t>Cantidad Estudiantes</t>
  </si>
  <si>
    <t>Pasan directos a Octavo</t>
  </si>
  <si>
    <t>191163</t>
  </si>
  <si>
    <t>150030</t>
  </si>
  <si>
    <t>141146</t>
  </si>
  <si>
    <t>190174</t>
  </si>
  <si>
    <t>190116</t>
  </si>
  <si>
    <t>170157</t>
  </si>
  <si>
    <t>150014</t>
  </si>
  <si>
    <t>140271</t>
  </si>
  <si>
    <t>150011</t>
  </si>
  <si>
    <t>150036</t>
  </si>
  <si>
    <t>150026</t>
  </si>
  <si>
    <t>150022</t>
  </si>
  <si>
    <t>180082</t>
  </si>
  <si>
    <t>200108</t>
  </si>
  <si>
    <t>150015</t>
  </si>
  <si>
    <t>150010</t>
  </si>
  <si>
    <t>190190</t>
  </si>
  <si>
    <t>150009</t>
  </si>
  <si>
    <t>180311</t>
  </si>
  <si>
    <t>190048</t>
  </si>
  <si>
    <t>150018</t>
  </si>
  <si>
    <t>151056</t>
  </si>
  <si>
    <t>200234</t>
  </si>
  <si>
    <t>190306</t>
  </si>
  <si>
    <t>150005</t>
  </si>
  <si>
    <t>150006</t>
  </si>
  <si>
    <t>191066</t>
  </si>
  <si>
    <t>150024</t>
  </si>
  <si>
    <t>150003</t>
  </si>
  <si>
    <t>151001</t>
  </si>
  <si>
    <t>151004</t>
  </si>
  <si>
    <t>170290</t>
  </si>
  <si>
    <t>151067</t>
  </si>
  <si>
    <t>170169</t>
  </si>
  <si>
    <t>150023</t>
  </si>
  <si>
    <t>150035</t>
  </si>
  <si>
    <t>ACOSTA GALLEGO MELANIE</t>
  </si>
  <si>
    <t>ARANGO CARDENAS SAMUEL</t>
  </si>
  <si>
    <t>ARBOLEDA GARCIA BREYLIN TALIANA incompleta</t>
  </si>
  <si>
    <t>AVENDAÑO MARIN YICETH</t>
  </si>
  <si>
    <t>BEDOYA SILVA CAMILA  Incompleta</t>
  </si>
  <si>
    <t>BORJA OSSA  SARA</t>
  </si>
  <si>
    <t>CASTRO CHAVARRIA MATIAS</t>
  </si>
  <si>
    <t>DUEÑEZ  LONDOÑO EMMANUEL</t>
  </si>
  <si>
    <t>ECHEVERRI RUIZ ANTHONY</t>
  </si>
  <si>
    <t>GARCES CASTAÑO MIGUEL ANGEL</t>
  </si>
  <si>
    <t>GIRALDO  PINO TOMAS</t>
  </si>
  <si>
    <t>GIRALDO VALLEJO MICHAEL</t>
  </si>
  <si>
    <t>GOMEZ RAMIREZ VALERIN DAYANA</t>
  </si>
  <si>
    <t>GOMEZ RESTREPO SAMY</t>
  </si>
  <si>
    <t xml:space="preserve">GRISALES  GIRALDO ISABELLA </t>
  </si>
  <si>
    <t>HENAO CHAVARRIA  SOFIA</t>
  </si>
  <si>
    <t>JIMENEZ MORENO SILVERIA SOFIA</t>
  </si>
  <si>
    <t>MANCO GARCIA VICTOR MANUEL</t>
  </si>
  <si>
    <t>MEDINA MENDEZ MANUEL DE JESUS  MCG</t>
  </si>
  <si>
    <t>MONTAÑO CAUCIL MARIA CAMILA</t>
  </si>
  <si>
    <t>MUNERA  GUTIERREZ SUSANA</t>
  </si>
  <si>
    <t>OCAMPO  CASTILLA VALERIA</t>
  </si>
  <si>
    <t>OSSA HINCAPIE MARIA FERNANDA</t>
  </si>
  <si>
    <t>PATERNINA SUAREZ JOSE MANUEL</t>
  </si>
  <si>
    <t>PEÑA  USUGA SEBASTIAN</t>
  </si>
  <si>
    <t>RENDON NARANJO LAURA  SOFIA</t>
  </si>
  <si>
    <t>RENGIFO CALDERON  ESTRELLITA LUCIA</t>
  </si>
  <si>
    <t xml:space="preserve">RESTREPO MEJIA DULCE MARIA </t>
  </si>
  <si>
    <t>ROBLES RODRIGUEZ OSWALDO</t>
  </si>
  <si>
    <t>SANCHEZ  RUIZ SANTIAGO</t>
  </si>
  <si>
    <t>SANTA RUIZ LUISA  FERNANDA</t>
  </si>
  <si>
    <t>TERAN BENCOMO DHORIAM ALEXANDER</t>
  </si>
  <si>
    <t>VARELAS JIMENEZ  ISABELL</t>
  </si>
  <si>
    <t>VARGAS MOLINA EMMANUEL</t>
  </si>
  <si>
    <t>VELEZ RESTREPO SAMANTHA</t>
  </si>
  <si>
    <t>VILLA GOMEZ  VALENTINA</t>
  </si>
  <si>
    <t>Superior</t>
  </si>
  <si>
    <t>Alta</t>
  </si>
  <si>
    <t>Basico</t>
  </si>
  <si>
    <t>Bajo</t>
  </si>
  <si>
    <t>Cantidad</t>
  </si>
  <si>
    <t>Calificación</t>
  </si>
  <si>
    <t>6º-02</t>
  </si>
  <si>
    <t>NOTAS</t>
  </si>
  <si>
    <t>Grado 6º-02</t>
  </si>
  <si>
    <t xml:space="preserve">DIAZ ROMERO SANTIAGO </t>
  </si>
  <si>
    <t xml:space="preserve">FLOREZ VALENCIA EMANUEL </t>
  </si>
  <si>
    <t xml:space="preserve">MONTOYA RODRIGUEZ MICHELLE </t>
  </si>
  <si>
    <t>SI</t>
  </si>
  <si>
    <t>NO</t>
  </si>
  <si>
    <t>Logros pendientes</t>
  </si>
  <si>
    <t>INFORME   PARCIAL III PERIODO 29/10/2021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</si>
</sst>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5">
    <xf numFmtId="0" fontId="0" fillId="0" borderId="0" xfId="0"/>
    <xf numFmtId="0" fontId="14" fillId="0" borderId="1" xfId="0" applyFont="1" applyBorder="1" applyAlignment="1">
      <alignment vertical="top"/>
    </xf>
    <xf numFmtId="0" fontId="15" fillId="0" borderId="2" xfId="0" applyFont="1" applyBorder="1"/>
    <xf numFmtId="0" fontId="15" fillId="0" borderId="3" xfId="0" applyFont="1" applyBorder="1" applyAlignment="1">
      <alignment horizontal="center" vertical="center"/>
    </xf>
    <xf numFmtId="9" fontId="15" fillId="0" borderId="4" xfId="0" applyNumberFormat="1" applyFont="1" applyBorder="1" applyAlignment="1">
      <alignment textRotation="90"/>
    </xf>
    <xf numFmtId="0" fontId="16" fillId="0" borderId="5" xfId="0" applyFont="1" applyBorder="1"/>
    <xf numFmtId="0" fontId="0" fillId="0" borderId="6" xfId="0" applyBorder="1"/>
    <xf numFmtId="49" fontId="13" fillId="0" borderId="7" xfId="0" applyNumberFormat="1" applyFont="1" applyBorder="1" applyAlignment="1">
      <alignment horizontal="center" vertical="top"/>
    </xf>
    <xf numFmtId="0" fontId="13" fillId="0" borderId="8" xfId="0" applyFont="1" applyBorder="1"/>
    <xf numFmtId="0" fontId="13" fillId="0" borderId="9" xfId="0" applyFont="1" applyBorder="1"/>
    <xf numFmtId="0" fontId="0" fillId="0" borderId="10" xfId="0" applyBorder="1"/>
    <xf numFmtId="0" fontId="0" fillId="0" borderId="11" xfId="0" applyBorder="1"/>
    <xf numFmtId="9" fontId="12" fillId="0" borderId="12" xfId="8" applyFont="1" applyBorder="1"/>
    <xf numFmtId="0" fontId="0" fillId="0" borderId="13" xfId="0" applyBorder="1"/>
    <xf numFmtId="0" fontId="0" fillId="0" borderId="14" xfId="0" applyBorder="1"/>
    <xf numFmtId="9" fontId="12" fillId="0" borderId="15" xfId="8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9" fontId="12" fillId="0" borderId="20" xfId="8" applyFont="1" applyBorder="1"/>
    <xf numFmtId="49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/>
    <xf numFmtId="0" fontId="0" fillId="2" borderId="5" xfId="0" applyFill="1" applyBorder="1"/>
    <xf numFmtId="0" fontId="0" fillId="2" borderId="23" xfId="0" applyFill="1" applyBorder="1"/>
    <xf numFmtId="0" fontId="13" fillId="2" borderId="24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13" fillId="2" borderId="24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49" fontId="17" fillId="2" borderId="24" xfId="0" applyNumberFormat="1" applyFont="1" applyFill="1" applyBorder="1" applyAlignment="1">
      <alignment horizontal="center" vertical="top"/>
    </xf>
    <xf numFmtId="0" fontId="15" fillId="0" borderId="30" xfId="0" applyFont="1" applyBorder="1"/>
    <xf numFmtId="0" fontId="0" fillId="2" borderId="29" xfId="0" applyFill="1" applyBorder="1" applyAlignment="1" applyProtection="1">
      <alignment horizontal="center"/>
      <protection locked="0"/>
    </xf>
    <xf numFmtId="0" fontId="0" fillId="0" borderId="31" xfId="0" applyBorder="1"/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32" xfId="4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horizontal="right" vertical="top" wrapText="1" readingOrder="1"/>
      <protection locked="0"/>
    </xf>
    <xf numFmtId="0" fontId="18" fillId="0" borderId="29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5" fillId="0" borderId="34" xfId="0" applyFont="1" applyBorder="1" applyAlignment="1" applyProtection="1">
      <alignment horizontal="center" vertical="top" wrapText="1" readingOrder="1"/>
      <protection locked="0"/>
    </xf>
    <xf numFmtId="0" fontId="5" fillId="0" borderId="35" xfId="0" applyFont="1" applyBorder="1" applyAlignment="1" applyProtection="1">
      <alignment horizontal="center" vertical="top" wrapText="1" readingOrder="1"/>
      <protection locked="0"/>
    </xf>
    <xf numFmtId="0" fontId="5" fillId="0" borderId="36" xfId="0" applyFont="1" applyBorder="1" applyAlignment="1" applyProtection="1">
      <alignment horizontal="center" vertical="top" wrapText="1" readingOrder="1"/>
      <protection locked="0"/>
    </xf>
    <xf numFmtId="0" fontId="5" fillId="0" borderId="37" xfId="0" applyFont="1" applyBorder="1" applyAlignment="1" applyProtection="1">
      <alignment horizontal="center" vertical="top" wrapText="1" readingOrder="1"/>
      <protection locked="0"/>
    </xf>
    <xf numFmtId="0" fontId="5" fillId="0" borderId="38" xfId="0" applyFont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center" vertical="top" wrapText="1" readingOrder="1"/>
      <protection locked="0"/>
    </xf>
    <xf numFmtId="0" fontId="3" fillId="0" borderId="0" xfId="4" applyFont="1" applyBorder="1" applyAlignment="1" applyProtection="1">
      <alignment vertical="top" wrapText="1" readingOrder="1"/>
      <protection locked="0"/>
    </xf>
    <xf numFmtId="0" fontId="0" fillId="0" borderId="0" xfId="0" applyBorder="1"/>
    <xf numFmtId="0" fontId="0" fillId="0" borderId="27" xfId="0" applyBorder="1"/>
    <xf numFmtId="0" fontId="17" fillId="3" borderId="40" xfId="0" applyFont="1" applyFill="1" applyBorder="1" applyAlignment="1">
      <alignment vertical="center" textRotation="90" wrapText="1"/>
    </xf>
    <xf numFmtId="0" fontId="6" fillId="0" borderId="32" xfId="4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horizontal="center"/>
    </xf>
    <xf numFmtId="9" fontId="12" fillId="0" borderId="0" xfId="8" applyFont="1"/>
    <xf numFmtId="0" fontId="19" fillId="0" borderId="0" xfId="0" applyFont="1"/>
    <xf numFmtId="165" fontId="12" fillId="3" borderId="41" xfId="1" applyFont="1" applyFill="1" applyBorder="1" applyAlignment="1">
      <alignment horizontal="center" vertical="center"/>
    </xf>
    <xf numFmtId="165" fontId="12" fillId="4" borderId="41" xfId="1" applyFont="1" applyFill="1" applyBorder="1" applyAlignment="1">
      <alignment horizontal="center" vertical="center"/>
    </xf>
    <xf numFmtId="165" fontId="12" fillId="5" borderId="41" xfId="1" applyFont="1" applyFill="1" applyBorder="1" applyAlignment="1">
      <alignment horizontal="center" vertical="center"/>
    </xf>
    <xf numFmtId="165" fontId="12" fillId="6" borderId="41" xfId="1" applyFont="1" applyFill="1" applyBorder="1" applyAlignment="1">
      <alignment horizontal="center" vertical="center"/>
    </xf>
    <xf numFmtId="165" fontId="12" fillId="7" borderId="41" xfId="1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/>
    </xf>
    <xf numFmtId="49" fontId="13" fillId="0" borderId="7" xfId="0" applyNumberFormat="1" applyFont="1" applyBorder="1" applyAlignment="1" applyProtection="1">
      <alignment horizontal="center" vertical="top"/>
    </xf>
    <xf numFmtId="0" fontId="0" fillId="0" borderId="0" xfId="0" applyProtection="1"/>
    <xf numFmtId="0" fontId="14" fillId="0" borderId="1" xfId="0" applyFont="1" applyBorder="1" applyAlignment="1" applyProtection="1">
      <alignment vertical="top"/>
    </xf>
    <xf numFmtId="0" fontId="6" fillId="0" borderId="32" xfId="4" applyFont="1" applyBorder="1" applyAlignment="1" applyProtection="1">
      <alignment horizontal="center" vertical="center" wrapText="1" readingOrder="1"/>
    </xf>
    <xf numFmtId="0" fontId="17" fillId="3" borderId="40" xfId="0" applyFont="1" applyFill="1" applyBorder="1" applyAlignment="1" applyProtection="1">
      <alignment vertical="center" textRotation="90" wrapText="1"/>
    </xf>
    <xf numFmtId="0" fontId="17" fillId="0" borderId="40" xfId="0" applyFont="1" applyBorder="1" applyAlignment="1" applyProtection="1">
      <alignment vertical="center" textRotation="90" wrapText="1"/>
    </xf>
    <xf numFmtId="0" fontId="17" fillId="0" borderId="8" xfId="0" applyFont="1" applyBorder="1" applyAlignment="1" applyProtection="1">
      <alignment vertical="center" textRotation="90" wrapText="1"/>
    </xf>
    <xf numFmtId="0" fontId="17" fillId="0" borderId="7" xfId="0" applyFont="1" applyBorder="1" applyAlignment="1" applyProtection="1">
      <alignment vertical="center" textRotation="90" wrapText="1"/>
    </xf>
    <xf numFmtId="0" fontId="3" fillId="0" borderId="32" xfId="4" applyFont="1" applyBorder="1" applyAlignment="1" applyProtection="1">
      <alignment vertical="top" wrapText="1" readingOrder="1"/>
    </xf>
    <xf numFmtId="0" fontId="15" fillId="0" borderId="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top" wrapText="1" readingOrder="1"/>
    </xf>
    <xf numFmtId="0" fontId="5" fillId="0" borderId="34" xfId="0" applyFont="1" applyBorder="1" applyAlignment="1" applyProtection="1">
      <alignment horizontal="center" vertical="top" wrapText="1" readingOrder="1"/>
    </xf>
    <xf numFmtId="0" fontId="5" fillId="0" borderId="37" xfId="0" applyFont="1" applyBorder="1" applyAlignment="1" applyProtection="1">
      <alignment horizontal="center" vertical="top" wrapText="1" readingOrder="1"/>
    </xf>
    <xf numFmtId="0" fontId="5" fillId="0" borderId="35" xfId="0" applyFont="1" applyBorder="1" applyAlignment="1" applyProtection="1">
      <alignment horizontal="center" vertical="top" wrapText="1" readingOrder="1"/>
    </xf>
    <xf numFmtId="0" fontId="5" fillId="0" borderId="38" xfId="0" applyFont="1" applyBorder="1" applyAlignment="1" applyProtection="1">
      <alignment horizontal="center" vertical="top" wrapText="1" readingOrder="1"/>
    </xf>
    <xf numFmtId="0" fontId="5" fillId="0" borderId="36" xfId="0" applyFont="1" applyBorder="1" applyAlignment="1" applyProtection="1">
      <alignment horizontal="center" vertical="top" wrapText="1" readingOrder="1"/>
    </xf>
    <xf numFmtId="0" fontId="5" fillId="0" borderId="39" xfId="0" applyFont="1" applyBorder="1" applyAlignment="1" applyProtection="1">
      <alignment horizontal="center" vertical="top" wrapText="1" readingOrder="1"/>
    </xf>
    <xf numFmtId="0" fontId="17" fillId="0" borderId="21" xfId="0" applyFont="1" applyBorder="1" applyAlignment="1" applyProtection="1">
      <alignment horizontal="center"/>
    </xf>
    <xf numFmtId="0" fontId="3" fillId="0" borderId="0" xfId="4" applyFont="1" applyBorder="1" applyAlignment="1" applyProtection="1">
      <alignment vertical="top" wrapText="1" readingOrder="1"/>
    </xf>
    <xf numFmtId="0" fontId="17" fillId="0" borderId="1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27" xfId="0" applyBorder="1" applyProtection="1"/>
    <xf numFmtId="0" fontId="5" fillId="0" borderId="31" xfId="0" applyFont="1" applyBorder="1" applyAlignment="1" applyProtection="1">
      <alignment vertical="center" wrapText="1" readingOrder="1"/>
    </xf>
    <xf numFmtId="0" fontId="21" fillId="0" borderId="2" xfId="0" applyFont="1" applyBorder="1" applyProtection="1"/>
    <xf numFmtId="9" fontId="12" fillId="0" borderId="0" xfId="8" applyFon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9" fontId="12" fillId="0" borderId="0" xfId="8" applyFont="1"/>
    <xf numFmtId="0" fontId="3" fillId="0" borderId="54" xfId="0" applyFont="1" applyBorder="1" applyAlignment="1" applyProtection="1">
      <alignment vertical="center" wrapText="1" readingOrder="1"/>
      <protection locked="0"/>
    </xf>
    <xf numFmtId="0" fontId="3" fillId="0" borderId="55" xfId="0" applyFont="1" applyBorder="1" applyAlignment="1" applyProtection="1">
      <alignment vertical="center" wrapText="1" readingOrder="1"/>
      <protection locked="0"/>
    </xf>
    <xf numFmtId="0" fontId="3" fillId="0" borderId="56" xfId="0" applyFont="1" applyBorder="1" applyAlignment="1" applyProtection="1">
      <alignment vertical="center" wrapText="1" readingOrder="1"/>
      <protection locked="0"/>
    </xf>
    <xf numFmtId="0" fontId="3" fillId="0" borderId="54" xfId="0" applyFont="1" applyBorder="1" applyAlignment="1" applyProtection="1">
      <alignment horizontal="center" vertical="center" wrapText="1" readingOrder="1"/>
      <protection locked="0"/>
    </xf>
    <xf numFmtId="0" fontId="3" fillId="0" borderId="55" xfId="0" applyFont="1" applyBorder="1" applyAlignment="1" applyProtection="1">
      <alignment horizontal="center" vertical="center" wrapText="1" readingOrder="1"/>
      <protection locked="0"/>
    </xf>
    <xf numFmtId="0" fontId="3" fillId="0" borderId="56" xfId="0" applyFont="1" applyBorder="1" applyAlignment="1" applyProtection="1">
      <alignment horizontal="center" vertical="center" wrapText="1" readingOrder="1"/>
      <protection locked="0"/>
    </xf>
    <xf numFmtId="0" fontId="17" fillId="2" borderId="40" xfId="0" applyFont="1" applyFill="1" applyBorder="1" applyAlignment="1" applyProtection="1">
      <alignment vertical="center" textRotation="90" wrapText="1"/>
    </xf>
    <xf numFmtId="165" fontId="12" fillId="8" borderId="41" xfId="1" applyFont="1" applyFill="1" applyBorder="1" applyAlignment="1">
      <alignment horizontal="center" vertical="center"/>
    </xf>
    <xf numFmtId="0" fontId="0" fillId="9" borderId="0" xfId="0" applyFill="1" applyProtection="1"/>
    <xf numFmtId="0" fontId="5" fillId="2" borderId="31" xfId="0" applyFont="1" applyFill="1" applyBorder="1" applyAlignment="1" applyProtection="1">
      <alignment vertical="center" wrapText="1" readingOrder="1"/>
    </xf>
    <xf numFmtId="0" fontId="0" fillId="2" borderId="0" xfId="0" applyFill="1" applyProtection="1"/>
    <xf numFmtId="0" fontId="21" fillId="0" borderId="52" xfId="0" applyFont="1" applyBorder="1" applyProtection="1"/>
    <xf numFmtId="0" fontId="8" fillId="0" borderId="53" xfId="0" applyFont="1" applyBorder="1" applyAlignment="1" applyProtection="1">
      <alignment horizontal="center" vertical="top" wrapText="1" readingOrder="1"/>
    </xf>
    <xf numFmtId="0" fontId="0" fillId="0" borderId="29" xfId="0" applyBorder="1" applyProtection="1"/>
    <xf numFmtId="0" fontId="0" fillId="0" borderId="31" xfId="0" applyBorder="1" applyProtection="1"/>
    <xf numFmtId="0" fontId="0" fillId="2" borderId="31" xfId="0" applyFill="1" applyBorder="1" applyProtection="1"/>
    <xf numFmtId="9" fontId="12" fillId="2" borderId="31" xfId="8" applyFont="1" applyFill="1" applyBorder="1" applyProtection="1"/>
    <xf numFmtId="49" fontId="0" fillId="2" borderId="0" xfId="0" applyNumberFormat="1" applyFill="1" applyProtection="1"/>
    <xf numFmtId="49" fontId="0" fillId="2" borderId="31" xfId="0" applyNumberFormat="1" applyFill="1" applyBorder="1" applyProtection="1"/>
    <xf numFmtId="0" fontId="13" fillId="2" borderId="31" xfId="0" applyFont="1" applyFill="1" applyBorder="1" applyAlignment="1" applyProtection="1">
      <alignment horizontal="center"/>
    </xf>
    <xf numFmtId="0" fontId="22" fillId="3" borderId="40" xfId="0" applyFont="1" applyFill="1" applyBorder="1" applyAlignment="1" applyProtection="1">
      <alignment vertical="center" textRotation="90" wrapText="1"/>
    </xf>
    <xf numFmtId="0" fontId="24" fillId="3" borderId="40" xfId="0" applyFont="1" applyFill="1" applyBorder="1" applyAlignment="1" applyProtection="1">
      <alignment vertical="center" textRotation="90" wrapText="1"/>
    </xf>
    <xf numFmtId="0" fontId="0" fillId="0" borderId="59" xfId="0" applyBorder="1"/>
    <xf numFmtId="9" fontId="0" fillId="0" borderId="59" xfId="8" applyFont="1" applyBorder="1"/>
    <xf numFmtId="0" fontId="13" fillId="0" borderId="59" xfId="0" applyFont="1" applyBorder="1" applyAlignment="1">
      <alignment horizontal="center"/>
    </xf>
    <xf numFmtId="0" fontId="28" fillId="11" borderId="29" xfId="0" applyFont="1" applyFill="1" applyBorder="1" applyAlignment="1">
      <alignment horizontal="center"/>
    </xf>
    <xf numFmtId="0" fontId="29" fillId="0" borderId="0" xfId="0" applyFont="1"/>
    <xf numFmtId="0" fontId="25" fillId="2" borderId="4" xfId="0" applyFont="1" applyFill="1" applyBorder="1"/>
    <xf numFmtId="0" fontId="26" fillId="2" borderId="20" xfId="0" applyFont="1" applyFill="1" applyBorder="1"/>
    <xf numFmtId="0" fontId="28" fillId="2" borderId="29" xfId="0" applyFont="1" applyFill="1" applyBorder="1" applyAlignment="1">
      <alignment horizontal="center"/>
    </xf>
    <xf numFmtId="0" fontId="26" fillId="2" borderId="0" xfId="0" applyFont="1" applyFill="1" applyProtection="1"/>
    <xf numFmtId="0" fontId="11" fillId="3" borderId="29" xfId="6" applyFont="1" applyFill="1" applyBorder="1" applyAlignment="1" applyProtection="1">
      <alignment horizontal="center" vertical="center" textRotation="90"/>
    </xf>
    <xf numFmtId="0" fontId="23" fillId="10" borderId="29" xfId="6" applyFont="1" applyFill="1" applyBorder="1" applyAlignment="1" applyProtection="1">
      <alignment horizontal="center" vertical="center" textRotation="90"/>
    </xf>
    <xf numFmtId="0" fontId="11" fillId="0" borderId="29" xfId="6" applyFont="1" applyFill="1" applyBorder="1" applyAlignment="1" applyProtection="1">
      <alignment horizontal="center" vertical="center" textRotation="90"/>
    </xf>
    <xf numFmtId="0" fontId="3" fillId="0" borderId="31" xfId="0" applyFont="1" applyBorder="1" applyAlignment="1" applyProtection="1">
      <alignment vertical="center" wrapText="1" readingOrder="1"/>
    </xf>
    <xf numFmtId="0" fontId="3" fillId="2" borderId="57" xfId="0" applyFont="1" applyFill="1" applyBorder="1" applyAlignment="1" applyProtection="1">
      <alignment vertical="center" wrapText="1" readingOrder="1"/>
    </xf>
    <xf numFmtId="0" fontId="27" fillId="2" borderId="57" xfId="0" applyFont="1" applyFill="1" applyBorder="1" applyAlignment="1" applyProtection="1">
      <alignment vertical="center" wrapText="1" readingOrder="1"/>
    </xf>
    <xf numFmtId="0" fontId="3" fillId="2" borderId="58" xfId="0" applyFont="1" applyFill="1" applyBorder="1" applyAlignment="1" applyProtection="1">
      <alignment vertical="center" wrapText="1" readingOrder="1"/>
    </xf>
    <xf numFmtId="0" fontId="2" fillId="0" borderId="31" xfId="7" applyFont="1" applyBorder="1" applyProtection="1"/>
    <xf numFmtId="0" fontId="2" fillId="0" borderId="31" xfId="7" applyBorder="1" applyProtection="1"/>
    <xf numFmtId="0" fontId="10" fillId="0" borderId="31" xfId="7" applyFont="1" applyBorder="1" applyProtection="1"/>
    <xf numFmtId="9" fontId="2" fillId="0" borderId="31" xfId="7" applyNumberFormat="1" applyBorder="1" applyProtection="1"/>
    <xf numFmtId="0" fontId="14" fillId="0" borderId="40" xfId="0" applyFont="1" applyBorder="1" applyAlignment="1" applyProtection="1">
      <alignment vertical="top"/>
    </xf>
    <xf numFmtId="0" fontId="14" fillId="0" borderId="43" xfId="0" applyFont="1" applyBorder="1" applyAlignment="1" applyProtection="1">
      <alignment vertical="top"/>
    </xf>
    <xf numFmtId="0" fontId="14" fillId="0" borderId="44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 textRotation="90" wrapText="1" shrinkToFit="1"/>
    </xf>
    <xf numFmtId="0" fontId="14" fillId="0" borderId="30" xfId="0" applyFont="1" applyBorder="1" applyAlignment="1" applyProtection="1">
      <alignment horizontal="center" vertical="center" textRotation="90" wrapText="1" shrinkToFit="1"/>
    </xf>
    <xf numFmtId="0" fontId="14" fillId="0" borderId="24" xfId="0" applyFont="1" applyBorder="1" applyAlignment="1" applyProtection="1">
      <alignment horizontal="center" vertical="center" textRotation="90" wrapText="1" shrinkToFit="1"/>
    </xf>
    <xf numFmtId="0" fontId="14" fillId="0" borderId="26" xfId="0" applyFont="1" applyBorder="1" applyAlignment="1" applyProtection="1">
      <alignment horizontal="center" vertical="center" textRotation="90" wrapText="1" shrinkToFit="1"/>
    </xf>
    <xf numFmtId="0" fontId="14" fillId="0" borderId="3" xfId="0" applyFont="1" applyBorder="1" applyAlignment="1" applyProtection="1">
      <alignment vertical="top"/>
    </xf>
    <xf numFmtId="0" fontId="14" fillId="0" borderId="47" xfId="0" applyFont="1" applyBorder="1" applyAlignment="1" applyProtection="1">
      <alignment vertical="top"/>
    </xf>
    <xf numFmtId="0" fontId="14" fillId="0" borderId="4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7" fillId="3" borderId="48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5" borderId="48" xfId="0" applyFont="1" applyFill="1" applyBorder="1" applyAlignment="1">
      <alignment horizontal="center" vertical="center" wrapText="1"/>
    </xf>
    <xf numFmtId="0" fontId="17" fillId="5" borderId="49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8" borderId="48" xfId="0" applyFont="1" applyFill="1" applyBorder="1" applyAlignment="1">
      <alignment horizontal="center" vertical="center" wrapText="1"/>
    </xf>
    <xf numFmtId="0" fontId="17" fillId="8" borderId="49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 wrapText="1"/>
    </xf>
    <xf numFmtId="0" fontId="17" fillId="7" borderId="49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50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7" fillId="6" borderId="4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/>
    </xf>
    <xf numFmtId="0" fontId="13" fillId="2" borderId="25" xfId="0" applyFont="1" applyFill="1" applyBorder="1" applyAlignment="1">
      <alignment horizontal="left"/>
    </xf>
    <xf numFmtId="0" fontId="20" fillId="2" borderId="2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28" fillId="11" borderId="4" xfId="0" applyFont="1" applyFill="1" applyBorder="1" applyAlignment="1">
      <alignment horizontal="center"/>
    </xf>
    <xf numFmtId="0" fontId="28" fillId="11" borderId="20" xfId="0" applyFont="1" applyFill="1" applyBorder="1" applyAlignment="1">
      <alignment horizontal="center"/>
    </xf>
    <xf numFmtId="0" fontId="14" fillId="0" borderId="40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 wrapText="1" shrinkToFit="1"/>
    </xf>
    <xf numFmtId="0" fontId="14" fillId="0" borderId="30" xfId="0" applyFont="1" applyBorder="1" applyAlignment="1">
      <alignment horizontal="center" vertical="center" textRotation="90" wrapText="1" shrinkToFit="1"/>
    </xf>
    <xf numFmtId="0" fontId="14" fillId="0" borderId="33" xfId="0" applyFont="1" applyBorder="1" applyAlignment="1">
      <alignment horizontal="center" vertical="center" textRotation="90" wrapText="1" shrinkToFit="1"/>
    </xf>
    <xf numFmtId="0" fontId="14" fillId="0" borderId="3" xfId="0" applyFont="1" applyBorder="1" applyAlignment="1">
      <alignment vertical="top"/>
    </xf>
    <xf numFmtId="0" fontId="14" fillId="0" borderId="47" xfId="0" applyFont="1" applyBorder="1" applyAlignment="1">
      <alignment vertical="top"/>
    </xf>
    <xf numFmtId="0" fontId="14" fillId="0" borderId="4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 textRotation="90" wrapText="1" shrinkToFit="1"/>
    </xf>
    <xf numFmtId="0" fontId="30" fillId="2" borderId="57" xfId="0" applyFont="1" applyFill="1" applyBorder="1" applyAlignment="1" applyProtection="1">
      <alignment vertical="center" wrapText="1" readingOrder="1"/>
    </xf>
    <xf numFmtId="0" fontId="31" fillId="2" borderId="57" xfId="0" applyFont="1" applyFill="1" applyBorder="1" applyAlignment="1" applyProtection="1">
      <alignment vertical="center" wrapText="1" readingOrder="1"/>
    </xf>
    <xf numFmtId="0" fontId="30" fillId="2" borderId="58" xfId="0" applyFont="1" applyFill="1" applyBorder="1" applyAlignment="1" applyProtection="1">
      <alignment vertical="center" wrapText="1" readingOrder="1"/>
    </xf>
    <xf numFmtId="0" fontId="21" fillId="0" borderId="0" xfId="0" applyFont="1" applyProtection="1"/>
    <xf numFmtId="49" fontId="0" fillId="2" borderId="59" xfId="0" applyNumberFormat="1" applyFill="1" applyBorder="1" applyProtection="1"/>
    <xf numFmtId="0" fontId="0" fillId="2" borderId="59" xfId="0" applyFill="1" applyBorder="1" applyProtection="1"/>
    <xf numFmtId="0" fontId="3" fillId="0" borderId="59" xfId="0" applyFont="1" applyBorder="1" applyAlignment="1" applyProtection="1">
      <alignment horizontal="left" vertical="center" wrapText="1" readingOrder="1"/>
    </xf>
    <xf numFmtId="9" fontId="0" fillId="2" borderId="0" xfId="8" applyFont="1" applyFill="1" applyProtection="1"/>
    <xf numFmtId="9" fontId="0" fillId="2" borderId="0" xfId="0" applyNumberFormat="1" applyFill="1" applyProtection="1"/>
    <xf numFmtId="0" fontId="0" fillId="2" borderId="0" xfId="0" applyFill="1" applyAlignment="1" applyProtection="1">
      <alignment horizontal="center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Porcentaje" xfId="8" builtinId="5"/>
    <cellStyle name="Porcentual 2" xfId="9" xr:uid="{00000000-0005-0000-0000-000009000000}"/>
    <cellStyle name="Porcentual 3" xfId="10" xr:uid="{00000000-0005-0000-0000-00000A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Materias Vs Estudiantes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534471647361629E-2"/>
          <c:y val="0.12224953469964699"/>
          <c:w val="0.78002801855075821"/>
          <c:h val="0.7334972081978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6-5'!$C$2</c:f>
              <c:strCache>
                <c:ptCount val="1"/>
                <c:pt idx="0">
                  <c:v># de estudiantes</c:v>
                </c:pt>
              </c:strCache>
            </c:strRef>
          </c:tx>
          <c:invertIfNegative val="0"/>
          <c:dLbls>
            <c:spPr>
              <a:ln cap="sq" cmpd="dbl"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6-5'!$B$3:$B$22</c:f>
              <c:strCach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'Informe 6-5'!$C$3:$C$22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9-4E92-90B4-28980611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3456"/>
        <c:axId val="221273848"/>
      </c:barChart>
      <c:catAx>
        <c:axId val="22127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848"/>
        <c:crosses val="autoZero"/>
        <c:auto val="1"/>
        <c:lblAlgn val="ctr"/>
        <c:lblOffset val="100"/>
        <c:noMultiLvlLbl val="0"/>
      </c:catAx>
      <c:valAx>
        <c:axId val="22127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3670828595818225"/>
          <c:y val="0.52078290947127936"/>
          <c:w val="0.98785552615639638"/>
          <c:h val="0.5794626160727464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cmpd="thickThin">
      <a:solidFill>
        <a:srgbClr val="FF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Areas con logros pendientes por Estudiante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333333"/>
                    </a:solidFill>
                    <a:latin typeface="Tahoma"/>
                    <a:ea typeface="Tahoma"/>
                    <a:cs typeface="Tahom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D5F-A1C4-16677F39D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5184"/>
        <c:axId val="244829200"/>
        <c:axId val="0"/>
      </c:bar3DChart>
      <c:catAx>
        <c:axId val="243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29200"/>
        <c:crosses val="autoZero"/>
        <c:auto val="1"/>
        <c:lblAlgn val="ctr"/>
        <c:lblOffset val="100"/>
        <c:noMultiLvlLbl val="0"/>
      </c:catAx>
      <c:valAx>
        <c:axId val="2448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977295896009486E-2"/>
          <c:y val="0.23950506186726658"/>
          <c:w val="0.9562464885210965"/>
          <c:h val="0.703370292999089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ysClr val="window" lastClr="FFFFFF"/>
              </a:solidFill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53-4490-B111-6CC13652C25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53-4490-B111-6CC13652C250}"/>
              </c:ext>
            </c:extLst>
          </c:dPt>
          <c:dLbls>
            <c:dLbl>
              <c:idx val="0"/>
              <c:layout>
                <c:manualLayout>
                  <c:x val="-0.16250584669886387"/>
                  <c:y val="-7.2343099969646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3-4490-B111-6CC13652C250}"/>
                </c:ext>
              </c:extLst>
            </c:dLbl>
            <c:dLbl>
              <c:idx val="1"/>
              <c:layout>
                <c:manualLayout>
                  <c:x val="0.14088519251438034"/>
                  <c:y val="1.5165961397682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3-4490-B111-6CC13652C2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Hoja2!$M$26:$M$27</c:f>
              <c:numCache>
                <c:formatCode>0%</c:formatCode>
                <c:ptCount val="2"/>
                <c:pt idx="0">
                  <c:v>0.51428571428571423</c:v>
                </c:pt>
                <c:pt idx="1">
                  <c:v>0.48571428571428571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490-B111-6CC13652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0000000000003E-2"/>
          <c:y val="5.5555555555555552E-2"/>
          <c:w val="0.88541666666666663"/>
          <c:h val="0.8090277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# Estudiantes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Hoja1!$B$4:$B$13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Hoja1!$C$4:$C$13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1A-8FB2-A447B78E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30376"/>
        <c:axId val="244830768"/>
      </c:barChart>
      <c:catAx>
        <c:axId val="24483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768"/>
        <c:crosses val="autoZero"/>
        <c:auto val="1"/>
        <c:lblAlgn val="ctr"/>
        <c:lblOffset val="100"/>
        <c:noMultiLvlLbl val="0"/>
      </c:catAx>
      <c:valAx>
        <c:axId val="24483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DD8-8785-0EF7842A591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669C-4DD8-8785-0EF7842A591B}"/>
              </c:ext>
            </c:extLst>
          </c:dPt>
          <c:dLbls>
            <c:dLbl>
              <c:idx val="0"/>
              <c:layout>
                <c:manualLayout>
                  <c:x val="-6.4477909011373583E-2"/>
                  <c:y val="0.14930555555555555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C-4DD8-8785-0EF7842A59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Hoja1!$C$25:$C$26</c:f>
              <c:numCache>
                <c:formatCode>0%</c:formatCode>
                <c:ptCount val="2"/>
                <c:pt idx="0">
                  <c:v>6.9767441860465115E-2</c:v>
                </c:pt>
                <c:pt idx="1">
                  <c:v>0.93023255813953487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C-4DD8-8785-0EF7842A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0-A706-41BA-BDB7-7E65B2396F1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06-41BA-BDB7-7E65B2396F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Hoja1!$C$40:$C$41</c:f>
              <c:numCache>
                <c:formatCode>0%</c:formatCode>
                <c:ptCount val="2"/>
                <c:pt idx="0">
                  <c:v>0.18604651162790697</c:v>
                </c:pt>
                <c:pt idx="1">
                  <c:v>0.81395348837209303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6-41BA-BDB7-7E65B239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89788359308028"/>
          <c:y val="0.1781474750262988"/>
          <c:w val="0.65338730155848168"/>
          <c:h val="0.73159229744133369"/>
        </c:manualLayout>
      </c:layout>
      <c:pie3DChart>
        <c:varyColors val="1"/>
        <c:ser>
          <c:idx val="0"/>
          <c:order val="0"/>
          <c:tx>
            <c:strRef>
              <c:f>'Informe 6-5'!$C$26</c:f>
              <c:strCache>
                <c:ptCount val="1"/>
                <c:pt idx="0">
                  <c:v>cantidad de materias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A-4996-9104-668BA48FD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7A-4996-9104-668BA48FDDF6}"/>
              </c:ext>
            </c:extLst>
          </c:dPt>
          <c:dLbls>
            <c:dLbl>
              <c:idx val="0"/>
              <c:layout>
                <c:manualLayout>
                  <c:x val="0.13017187592586782"/>
                  <c:y val="5.3799150677700915E-3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A-4996-9104-668BA48FDDF6}"/>
                </c:ext>
              </c:extLst>
            </c:dLbl>
            <c:dLbl>
              <c:idx val="1"/>
              <c:layout>
                <c:manualLayout>
                  <c:x val="-4.617470624936823E-2"/>
                  <c:y val="-1.1805665660826137E-2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A-4996-9104-668BA48FDD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6-5'!$C$27:$C$28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A-4996-9104-668BA48F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6985503306110634"/>
          <c:y val="0.49406225646972274"/>
          <c:w val="0.98804906358816691"/>
          <c:h val="0.6080767576261992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 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14898539417132E-2"/>
          <c:y val="0.22807066387117914"/>
          <c:w val="0.600529876263171"/>
          <c:h val="0.62061536418792018"/>
        </c:manualLayout>
      </c:layout>
      <c:pie3DChart>
        <c:varyColors val="1"/>
        <c:ser>
          <c:idx val="0"/>
          <c:order val="0"/>
          <c:tx>
            <c:strRef>
              <c:f>'Informe 6-5'!$D$26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F-4066-9454-6FBA7A9CD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F-4066-9454-6FBA7A9CDD48}"/>
              </c:ext>
            </c:extLst>
          </c:dPt>
          <c:dLbls>
            <c:dLbl>
              <c:idx val="0"/>
              <c:layout>
                <c:manualLayout>
                  <c:x val="9.5166298657112305E-2"/>
                  <c:y val="-4.593538340834151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F-4066-9454-6FBA7A9CDD48}"/>
                </c:ext>
              </c:extLst>
            </c:dLbl>
            <c:dLbl>
              <c:idx val="1"/>
              <c:layout>
                <c:manualLayout>
                  <c:x val="-0.11331625213514977"/>
                  <c:y val="4.8868331490204989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F-4066-9454-6FBA7A9CD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6-5'!$D$27:$D$28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F-4066-9454-6FBA7A9C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90044300018052"/>
          <c:y val="0.43640442970944415"/>
          <c:w val="0.9894192392617589"/>
          <c:h val="0.64035225859925393"/>
        </c:manualLayout>
      </c:layout>
      <c:overlay val="0"/>
      <c:txPr>
        <a:bodyPr/>
        <a:lstStyle/>
        <a:p>
          <a:pPr>
            <a:defRPr sz="20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% de</a:t>
            </a:r>
            <a:r>
              <a:rPr lang="es-CO" baseline="0"/>
              <a:t> Estudiantes con logros pendientes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'informe PARCIAL 3 periodo'!$AL$6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4B-40F3-BF21-28BE7534DBE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84B-40F3-BF21-28BE7534DBEE}"/>
              </c:ext>
            </c:extLst>
          </c:dPt>
          <c:dLbls>
            <c:dLbl>
              <c:idx val="0"/>
              <c:layout>
                <c:manualLayout>
                  <c:x val="4.0323928258967627E-2"/>
                  <c:y val="-8.465696996208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4B-40F3-BF21-28BE7534DBEE}"/>
                </c:ext>
              </c:extLst>
            </c:dLbl>
            <c:dLbl>
              <c:idx val="1"/>
              <c:layout>
                <c:manualLayout>
                  <c:x val="-7.9166666666666673E-3"/>
                  <c:y val="-0.19956291921843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B-40F3-BF21-28BE7534DB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PARCIAL 3 periodo'!$AJ$7:$AJ$8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'informe PARCIAL 3 periodo'!$AL$7:$AL$8</c:f>
              <c:numCache>
                <c:formatCode>0%</c:formatCode>
                <c:ptCount val="2"/>
                <c:pt idx="0">
                  <c:v>0.48717948717948717</c:v>
                </c:pt>
                <c:pt idx="1">
                  <c:v>0.51282051282051277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B-40F3-BF21-28BE7534D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888888888888889E-3"/>
          <c:y val="0.17837780694079905"/>
          <c:w val="0.90694444444444444"/>
          <c:h val="0.68590587634878986"/>
        </c:manualLayout>
      </c:layout>
      <c:pie3DChart>
        <c:varyColors val="1"/>
        <c:ser>
          <c:idx val="0"/>
          <c:order val="0"/>
          <c:tx>
            <c:strRef>
              <c:f>Informe!$D$1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28-44C6-B6BC-1D9EC4C57C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28-44C6-B6BC-1D9EC4C57C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28-44C6-B6BC-1D9EC4C57C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28-44C6-B6BC-1D9EC4C57C39}"/>
              </c:ext>
            </c:extLst>
          </c:dPt>
          <c:dLbls>
            <c:dLbl>
              <c:idx val="0"/>
              <c:layout>
                <c:manualLayout>
                  <c:x val="5.1637685914260718E-2"/>
                  <c:y val="-6.3094196558763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28-44C6-B6BC-1D9EC4C57C39}"/>
                </c:ext>
              </c:extLst>
            </c:dLbl>
            <c:dLbl>
              <c:idx val="1"/>
              <c:layout>
                <c:manualLayout>
                  <c:x val="0.18834474958922817"/>
                  <c:y val="-5.4449126681776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8-44C6-B6BC-1D9EC4C57C39}"/>
                </c:ext>
              </c:extLst>
            </c:dLbl>
            <c:dLbl>
              <c:idx val="2"/>
              <c:layout>
                <c:manualLayout>
                  <c:x val="5.37225529735612E-3"/>
                  <c:y val="-0.16493249564752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28-44C6-B6BC-1D9EC4C57C39}"/>
                </c:ext>
              </c:extLst>
            </c:dLbl>
            <c:dLbl>
              <c:idx val="3"/>
              <c:layout>
                <c:manualLayout>
                  <c:x val="-4.7831911636045492E-2"/>
                  <c:y val="-3.564705453484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28-44C6-B6BC-1D9EC4C57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Informe!$D$2:$D$5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8-44C6-B6BC-1D9EC4C57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3">
                    <a:lumMod val="50000"/>
                  </a:schemeClr>
                </a:solidFill>
              </a:rPr>
              <a:t>Cantidad de Estudiantes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6-4866-A547-CB0BFC0A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147119"/>
        <c:axId val="419092463"/>
        <c:axId val="0"/>
      </c:bar3DChart>
      <c:catAx>
        <c:axId val="53314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9092463"/>
        <c:crosses val="autoZero"/>
        <c:auto val="1"/>
        <c:lblAlgn val="ctr"/>
        <c:lblOffset val="100"/>
        <c:noMultiLvlLbl val="0"/>
      </c:catAx>
      <c:valAx>
        <c:axId val="41909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314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7-4F99-980F-58EFF28A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2440"/>
        <c:axId val="243642832"/>
        <c:axId val="0"/>
      </c:bar3DChart>
      <c:catAx>
        <c:axId val="24364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832"/>
        <c:crosses val="autoZero"/>
        <c:auto val="1"/>
        <c:lblAlgn val="ctr"/>
        <c:lblOffset val="100"/>
        <c:noMultiLvlLbl val="0"/>
      </c:catAx>
      <c:valAx>
        <c:axId val="2436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IPERIODO'!$P$6:$P$15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'Estadisticas IPERIODO'!$Q$6:$Q$15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2D0-9F73-42DD77F5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3616"/>
        <c:axId val="243644008"/>
        <c:axId val="0"/>
      </c:bar3DChart>
      <c:catAx>
        <c:axId val="2436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4008"/>
        <c:crosses val="autoZero"/>
        <c:auto val="1"/>
        <c:lblAlgn val="ctr"/>
        <c:lblOffset val="100"/>
        <c:noMultiLvlLbl val="0"/>
      </c:catAx>
      <c:valAx>
        <c:axId val="2436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Tahoma"/>
                <a:ea typeface="Tahoma"/>
                <a:cs typeface="Tahoma"/>
              </a:defRPr>
            </a:pPr>
            <a:r>
              <a:rPr lang="es-CO"/>
              <a:t>% Por #ro de áreas Con logros pendientes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863086786282867E-2"/>
          <c:y val="0.22336309200280574"/>
          <c:w val="0.82027382771183455"/>
          <c:h val="0.5987726933494335"/>
        </c:manualLayout>
      </c:layout>
      <c:pie3DChart>
        <c:varyColors val="1"/>
        <c:ser>
          <c:idx val="0"/>
          <c:order val="0"/>
          <c:tx>
            <c:strRef>
              <c:f>Estadisticas!$R$5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9F-4D73-A669-5B97149A57C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9F-4D73-A669-5B97149A57C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9F-4D73-A669-5B97149A57C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9F-4D73-A669-5B97149A57C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9F-4D73-A669-5B97149A57C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9F-4D73-A669-5B97149A57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69F-4D73-A669-5B97149A57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69F-4D73-A669-5B97149A57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69F-4D73-A669-5B97149A57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69F-4D73-A669-5B97149A57C8}"/>
              </c:ext>
            </c:extLst>
          </c:dPt>
          <c:dLbls>
            <c:dLbl>
              <c:idx val="0"/>
              <c:layout>
                <c:manualLayout>
                  <c:x val="1.3932111098053042E-2"/>
                  <c:y val="-0.113797053323606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F-4D73-A669-5B97149A57C8}"/>
                </c:ext>
              </c:extLst>
            </c:dLbl>
            <c:dLbl>
              <c:idx val="1"/>
              <c:layout>
                <c:manualLayout>
                  <c:x val="6.3034923806166016E-2"/>
                  <c:y val="-7.8576136449397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F-4D73-A669-5B97149A57C8}"/>
                </c:ext>
              </c:extLst>
            </c:dLbl>
            <c:dLbl>
              <c:idx val="2"/>
              <c:layout>
                <c:manualLayout>
                  <c:x val="4.3585811101970462E-2"/>
                  <c:y val="2.2734857823283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F-4D73-A669-5B97149A57C8}"/>
                </c:ext>
              </c:extLst>
            </c:dLbl>
            <c:dLbl>
              <c:idx val="4"/>
              <c:layout>
                <c:manualLayout>
                  <c:x val="-8.0996493908410697E-2"/>
                  <c:y val="4.3685945007672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9F-4D73-A669-5B97149A57C8}"/>
                </c:ext>
              </c:extLst>
            </c:dLbl>
            <c:dLbl>
              <c:idx val="5"/>
              <c:layout>
                <c:manualLayout>
                  <c:x val="-7.3603635366474712E-2"/>
                  <c:y val="3.2574107150344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9F-4D73-A669-5B97149A57C8}"/>
                </c:ext>
              </c:extLst>
            </c:dLbl>
            <c:dLbl>
              <c:idx val="6"/>
              <c:layout>
                <c:manualLayout>
                  <c:x val="-7.6894464684451755E-2"/>
                  <c:y val="-5.8992562031982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9F-4D73-A669-5B97149A57C8}"/>
                </c:ext>
              </c:extLst>
            </c:dLbl>
            <c:dLbl>
              <c:idx val="7"/>
              <c:layout>
                <c:manualLayout>
                  <c:x val="-7.3324127394523445E-2"/>
                  <c:y val="-4.909025349467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9F-4D73-A669-5B97149A57C8}"/>
                </c:ext>
              </c:extLst>
            </c:dLbl>
            <c:dLbl>
              <c:idx val="8"/>
              <c:layout>
                <c:manualLayout>
                  <c:x val="-4.0781819250205666E-2"/>
                  <c:y val="-5.4700175257645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9F-4D73-A669-5B97149A57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Estadisticas!$R$6:$R$15</c:f>
              <c:numCache>
                <c:formatCode>0%</c:formatCode>
                <c:ptCount val="10"/>
                <c:pt idx="0">
                  <c:v>0.25714285714285712</c:v>
                </c:pt>
                <c:pt idx="1">
                  <c:v>0.11428571428571428</c:v>
                </c:pt>
                <c:pt idx="2">
                  <c:v>0.14285714285714285</c:v>
                </c:pt>
                <c:pt idx="3">
                  <c:v>0</c:v>
                </c:pt>
                <c:pt idx="4">
                  <c:v>5.7142857142857141E-2</c:v>
                </c:pt>
                <c:pt idx="5">
                  <c:v>8.5714285714285715E-2</c:v>
                </c:pt>
                <c:pt idx="6">
                  <c:v>0.11428571428571428</c:v>
                </c:pt>
                <c:pt idx="7">
                  <c:v>8.5714285714285715E-2</c:v>
                </c:pt>
                <c:pt idx="8">
                  <c:v>5.7142857142857141E-2</c:v>
                </c:pt>
                <c:pt idx="9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9F-4D73-A669-5B97149A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28575</xdr:rowOff>
    </xdr:from>
    <xdr:to>
      <xdr:col>13</xdr:col>
      <xdr:colOff>352425</xdr:colOff>
      <xdr:row>21</xdr:row>
      <xdr:rowOff>114300</xdr:rowOff>
    </xdr:to>
    <xdr:graphicFrame macro="">
      <xdr:nvGraphicFramePr>
        <xdr:cNvPr id="1995887" name="3 Gráfico">
          <a:extLst>
            <a:ext uri="{FF2B5EF4-FFF2-40B4-BE49-F238E27FC236}">
              <a16:creationId xmlns:a16="http://schemas.microsoft.com/office/drawing/2014/main" id="{00000000-0008-0000-0000-00006F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24</xdr:row>
      <xdr:rowOff>180975</xdr:rowOff>
    </xdr:from>
    <xdr:to>
      <xdr:col>13</xdr:col>
      <xdr:colOff>542925</xdr:colOff>
      <xdr:row>45</xdr:row>
      <xdr:rowOff>152400</xdr:rowOff>
    </xdr:to>
    <xdr:graphicFrame macro="">
      <xdr:nvGraphicFramePr>
        <xdr:cNvPr id="1995888" name="4 Gráfico">
          <a:extLst>
            <a:ext uri="{FF2B5EF4-FFF2-40B4-BE49-F238E27FC236}">
              <a16:creationId xmlns:a16="http://schemas.microsoft.com/office/drawing/2014/main" id="{00000000-0008-0000-0000-000070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47</xdr:row>
      <xdr:rowOff>171450</xdr:rowOff>
    </xdr:from>
    <xdr:to>
      <xdr:col>13</xdr:col>
      <xdr:colOff>571500</xdr:colOff>
      <xdr:row>70</xdr:row>
      <xdr:rowOff>133350</xdr:rowOff>
    </xdr:to>
    <xdr:graphicFrame macro="">
      <xdr:nvGraphicFramePr>
        <xdr:cNvPr id="1995889" name="5 Gráfico">
          <a:extLst>
            <a:ext uri="{FF2B5EF4-FFF2-40B4-BE49-F238E27FC236}">
              <a16:creationId xmlns:a16="http://schemas.microsoft.com/office/drawing/2014/main" id="{00000000-0008-0000-0000-000071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1116330</xdr:colOff>
      <xdr:row>28</xdr:row>
      <xdr:rowOff>70486</xdr:rowOff>
    </xdr:from>
    <xdr:to>
      <xdr:col>2</xdr:col>
      <xdr:colOff>1106876</xdr:colOff>
      <xdr:row>28</xdr:row>
      <xdr:rowOff>116205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85950" y="5450206"/>
          <a:ext cx="128587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404027</xdr:colOff>
      <xdr:row>9</xdr:row>
      <xdr:rowOff>193220</xdr:rowOff>
    </xdr:from>
    <xdr:to>
      <xdr:col>40</xdr:col>
      <xdr:colOff>757813</xdr:colOff>
      <xdr:row>23</xdr:row>
      <xdr:rowOff>26585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6DF51C-E4C9-4759-8A6B-6C574B85B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</xdr:row>
      <xdr:rowOff>47625</xdr:rowOff>
    </xdr:from>
    <xdr:to>
      <xdr:col>3</xdr:col>
      <xdr:colOff>1162050</xdr:colOff>
      <xdr:row>6</xdr:row>
      <xdr:rowOff>41275</xdr:rowOff>
    </xdr:to>
    <xdr:pic>
      <xdr:nvPicPr>
        <xdr:cNvPr id="45483" name="Picture 16" descr="https://encrypted-tbn1.gstatic.com/images?q=tbn:ANd9GcQKUmmGGMr_jXoemMUtol6RVAVbuTRUUP2xy8MUTWcrt1LZkQAL">
          <a:extLst>
            <a:ext uri="{FF2B5EF4-FFF2-40B4-BE49-F238E27FC236}">
              <a16:creationId xmlns:a16="http://schemas.microsoft.com/office/drawing/2014/main" id="{00000000-0008-0000-0200-0000AB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5" y="606425"/>
          <a:ext cx="485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157161</xdr:rowOff>
    </xdr:from>
    <xdr:to>
      <xdr:col>11</xdr:col>
      <xdr:colOff>419100</xdr:colOff>
      <xdr:row>18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F4A8CF-DD16-491B-AAC4-7CC5A101F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12</xdr:col>
      <xdr:colOff>0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A1B9C2-AEAB-451F-ACB0-FF3005EDD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274645" name="Gráfico 1">
          <a:extLst>
            <a:ext uri="{FF2B5EF4-FFF2-40B4-BE49-F238E27FC236}">
              <a16:creationId xmlns:a16="http://schemas.microsoft.com/office/drawing/2014/main" id="{00000000-0008-0000-0400-0000D53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685217" name="Gráfico 1">
          <a:extLst>
            <a:ext uri="{FF2B5EF4-FFF2-40B4-BE49-F238E27FC236}">
              <a16:creationId xmlns:a16="http://schemas.microsoft.com/office/drawing/2014/main" id="{00000000-0008-0000-0500-0000A174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38100</xdr:rowOff>
    </xdr:from>
    <xdr:to>
      <xdr:col>8</xdr:col>
      <xdr:colOff>619125</xdr:colOff>
      <xdr:row>20</xdr:row>
      <xdr:rowOff>104775</xdr:rowOff>
    </xdr:to>
    <xdr:graphicFrame macro="">
      <xdr:nvGraphicFramePr>
        <xdr:cNvPr id="279116" name="Gráfico 1">
          <a:extLst>
            <a:ext uri="{FF2B5EF4-FFF2-40B4-BE49-F238E27FC236}">
              <a16:creationId xmlns:a16="http://schemas.microsoft.com/office/drawing/2014/main" id="{00000000-0008-0000-0600-00004C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21</xdr:row>
      <xdr:rowOff>85725</xdr:rowOff>
    </xdr:from>
    <xdr:to>
      <xdr:col>8</xdr:col>
      <xdr:colOff>600075</xdr:colOff>
      <xdr:row>39</xdr:row>
      <xdr:rowOff>38100</xdr:rowOff>
    </xdr:to>
    <xdr:graphicFrame macro="">
      <xdr:nvGraphicFramePr>
        <xdr:cNvPr id="279117" name="Gráfico 2">
          <a:extLst>
            <a:ext uri="{FF2B5EF4-FFF2-40B4-BE49-F238E27FC236}">
              <a16:creationId xmlns:a16="http://schemas.microsoft.com/office/drawing/2014/main" id="{00000000-0008-0000-0600-00004D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762000</xdr:colOff>
      <xdr:row>43</xdr:row>
      <xdr:rowOff>0</xdr:rowOff>
    </xdr:from>
    <xdr:to>
      <xdr:col>9</xdr:col>
      <xdr:colOff>85725</xdr:colOff>
      <xdr:row>57</xdr:row>
      <xdr:rowOff>133350</xdr:rowOff>
    </xdr:to>
    <xdr:graphicFrame macro="">
      <xdr:nvGraphicFramePr>
        <xdr:cNvPr id="279118" name="Gráfico 4">
          <a:extLst>
            <a:ext uri="{FF2B5EF4-FFF2-40B4-BE49-F238E27FC236}">
              <a16:creationId xmlns:a16="http://schemas.microsoft.com/office/drawing/2014/main" id="{00000000-0008-0000-0600-00004E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</xdr:row>
      <xdr:rowOff>161925</xdr:rowOff>
    </xdr:from>
    <xdr:to>
      <xdr:col>11</xdr:col>
      <xdr:colOff>200025</xdr:colOff>
      <xdr:row>20</xdr:row>
      <xdr:rowOff>47625</xdr:rowOff>
    </xdr:to>
    <xdr:graphicFrame macro="">
      <xdr:nvGraphicFramePr>
        <xdr:cNvPr id="558544" name="2 Gráfico">
          <a:extLst>
            <a:ext uri="{FF2B5EF4-FFF2-40B4-BE49-F238E27FC236}">
              <a16:creationId xmlns:a16="http://schemas.microsoft.com/office/drawing/2014/main" id="{00000000-0008-0000-0700-0000D0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21</xdr:row>
      <xdr:rowOff>57150</xdr:rowOff>
    </xdr:from>
    <xdr:to>
      <xdr:col>12</xdr:col>
      <xdr:colOff>266700</xdr:colOff>
      <xdr:row>35</xdr:row>
      <xdr:rowOff>133350</xdr:rowOff>
    </xdr:to>
    <xdr:graphicFrame macro="">
      <xdr:nvGraphicFramePr>
        <xdr:cNvPr id="558545" name="3 Gráfico">
          <a:extLst>
            <a:ext uri="{FF2B5EF4-FFF2-40B4-BE49-F238E27FC236}">
              <a16:creationId xmlns:a16="http://schemas.microsoft.com/office/drawing/2014/main" id="{00000000-0008-0000-0700-0000D1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36</xdr:row>
      <xdr:rowOff>123825</xdr:rowOff>
    </xdr:from>
    <xdr:to>
      <xdr:col>12</xdr:col>
      <xdr:colOff>257175</xdr:colOff>
      <xdr:row>51</xdr:row>
      <xdr:rowOff>9525</xdr:rowOff>
    </xdr:to>
    <xdr:graphicFrame macro="">
      <xdr:nvGraphicFramePr>
        <xdr:cNvPr id="558546" name="4 Gráfico">
          <a:extLst>
            <a:ext uri="{FF2B5EF4-FFF2-40B4-BE49-F238E27FC236}">
              <a16:creationId xmlns:a16="http://schemas.microsoft.com/office/drawing/2014/main" id="{00000000-0008-0000-0700-0000D2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topLeftCell="B1" workbookViewId="0">
      <selection activeCell="C9" sqref="C9"/>
    </sheetView>
  </sheetViews>
  <sheetFormatPr baseColWidth="10" defaultRowHeight="15" x14ac:dyDescent="0.25"/>
  <cols>
    <col min="2" max="3" width="19.5703125" bestFit="1" customWidth="1"/>
  </cols>
  <sheetData>
    <row r="1" spans="2:3" ht="15.75" thickBot="1" x14ac:dyDescent="0.3"/>
    <row r="2" spans="2:3" x14ac:dyDescent="0.25">
      <c r="B2" s="8" t="s">
        <v>22</v>
      </c>
      <c r="C2" s="9" t="s">
        <v>23</v>
      </c>
    </row>
    <row r="3" spans="2:3" x14ac:dyDescent="0.25">
      <c r="B3" s="22" t="s">
        <v>24</v>
      </c>
      <c r="C3" s="23" t="e">
        <f>COUNTIF(#REF!,"0")</f>
        <v>#REF!</v>
      </c>
    </row>
    <row r="4" spans="2:3" x14ac:dyDescent="0.25">
      <c r="B4" s="22" t="s">
        <v>25</v>
      </c>
      <c r="C4" s="23" t="e">
        <f>COUNTIF(#REF!,"1")</f>
        <v>#REF!</v>
      </c>
    </row>
    <row r="5" spans="2:3" x14ac:dyDescent="0.25">
      <c r="B5" s="22" t="s">
        <v>26</v>
      </c>
      <c r="C5" s="23" t="e">
        <f>COUNTIF(#REF!,"2")</f>
        <v>#REF!</v>
      </c>
    </row>
    <row r="6" spans="2:3" x14ac:dyDescent="0.25">
      <c r="B6" s="22" t="s">
        <v>27</v>
      </c>
      <c r="C6" s="23" t="e">
        <f>COUNTIF(#REF!,"3")</f>
        <v>#REF!</v>
      </c>
    </row>
    <row r="7" spans="2:3" x14ac:dyDescent="0.25">
      <c r="B7" s="22" t="s">
        <v>28</v>
      </c>
      <c r="C7" s="23" t="e">
        <f>COUNTIF(#REF!,"4")</f>
        <v>#REF!</v>
      </c>
    </row>
    <row r="8" spans="2:3" x14ac:dyDescent="0.25">
      <c r="B8" s="22" t="s">
        <v>29</v>
      </c>
      <c r="C8" s="23" t="e">
        <f>COUNTIF(#REF!,"5")</f>
        <v>#REF!</v>
      </c>
    </row>
    <row r="9" spans="2:3" x14ac:dyDescent="0.25">
      <c r="B9" s="22" t="s">
        <v>30</v>
      </c>
      <c r="C9" s="23" t="e">
        <f>COUNTIF(#REF!,"6")</f>
        <v>#REF!</v>
      </c>
    </row>
    <row r="10" spans="2:3" x14ac:dyDescent="0.25">
      <c r="B10" s="22" t="s">
        <v>31</v>
      </c>
      <c r="C10" s="23" t="e">
        <f>COUNTIF(#REF!,"7")</f>
        <v>#REF!</v>
      </c>
    </row>
    <row r="11" spans="2:3" x14ac:dyDescent="0.25">
      <c r="B11" s="22" t="s">
        <v>32</v>
      </c>
      <c r="C11" s="23" t="e">
        <f>COUNTIF(#REF!,"8")</f>
        <v>#REF!</v>
      </c>
    </row>
    <row r="12" spans="2:3" x14ac:dyDescent="0.25">
      <c r="B12" s="22" t="s">
        <v>33</v>
      </c>
      <c r="C12" s="23" t="e">
        <f>COUNTIF(#REF!,"9")</f>
        <v>#REF!</v>
      </c>
    </row>
    <row r="13" spans="2:3" x14ac:dyDescent="0.25">
      <c r="B13" s="22" t="s">
        <v>34</v>
      </c>
      <c r="C13" s="23" t="e">
        <f>COUNTIF(#REF!,"10")</f>
        <v>#REF!</v>
      </c>
    </row>
    <row r="14" spans="2:3" x14ac:dyDescent="0.25">
      <c r="B14" s="22" t="s">
        <v>35</v>
      </c>
      <c r="C14" s="23" t="e">
        <f>COUNTIF(#REF!,"11")</f>
        <v>#REF!</v>
      </c>
    </row>
    <row r="15" spans="2:3" x14ac:dyDescent="0.25">
      <c r="B15" s="22" t="s">
        <v>36</v>
      </c>
      <c r="C15" s="23" t="e">
        <f>COUNTIF(#REF!,"12")</f>
        <v>#REF!</v>
      </c>
    </row>
    <row r="16" spans="2:3" x14ac:dyDescent="0.25">
      <c r="B16" s="22" t="s">
        <v>37</v>
      </c>
      <c r="C16" s="23" t="e">
        <f>COUNTIF(#REF!,"13")</f>
        <v>#REF!</v>
      </c>
    </row>
    <row r="17" spans="2:4" x14ac:dyDescent="0.25">
      <c r="B17" s="22" t="s">
        <v>38</v>
      </c>
      <c r="C17" s="23" t="e">
        <f>COUNTIF(#REF!,"14")</f>
        <v>#REF!</v>
      </c>
    </row>
    <row r="18" spans="2:4" x14ac:dyDescent="0.25">
      <c r="B18" s="22" t="s">
        <v>39</v>
      </c>
      <c r="C18" s="23" t="e">
        <f>COUNTIF(#REF!,"15")</f>
        <v>#REF!</v>
      </c>
    </row>
    <row r="19" spans="2:4" x14ac:dyDescent="0.25">
      <c r="B19" s="22" t="s">
        <v>40</v>
      </c>
      <c r="C19" s="23" t="e">
        <f>COUNTIF(#REF!,"16")</f>
        <v>#REF!</v>
      </c>
    </row>
    <row r="20" spans="2:4" x14ac:dyDescent="0.25">
      <c r="B20" s="22" t="s">
        <v>41</v>
      </c>
      <c r="C20" s="23" t="e">
        <f>COUNTIF(#REF!,"17")</f>
        <v>#REF!</v>
      </c>
    </row>
    <row r="21" spans="2:4" x14ac:dyDescent="0.25">
      <c r="B21" s="22" t="s">
        <v>42</v>
      </c>
      <c r="C21" s="23" t="e">
        <f>COUNTIF(#REF!,"18")</f>
        <v>#REF!</v>
      </c>
    </row>
    <row r="22" spans="2:4" ht="15.75" thickBot="1" x14ac:dyDescent="0.3">
      <c r="B22" s="24" t="s">
        <v>43</v>
      </c>
      <c r="C22" s="25" t="e">
        <f>COUNTIF(#REF!,"19")</f>
        <v>#REF!</v>
      </c>
    </row>
    <row r="25" spans="2:4" ht="15.75" thickBot="1" x14ac:dyDescent="0.3"/>
    <row r="26" spans="2:4" ht="15.75" thickBot="1" x14ac:dyDescent="0.3">
      <c r="B26" s="16" t="s">
        <v>44</v>
      </c>
      <c r="C26" s="17" t="s">
        <v>22</v>
      </c>
      <c r="D26" s="18" t="s">
        <v>47</v>
      </c>
    </row>
    <row r="27" spans="2:4" x14ac:dyDescent="0.25">
      <c r="B27" s="13" t="s">
        <v>45</v>
      </c>
      <c r="C27" s="14" t="e">
        <f>COUNTIF(#REF!,"&lt;3")</f>
        <v>#REF!</v>
      </c>
      <c r="D27" s="15" t="e">
        <f>C27/$C$29</f>
        <v>#REF!</v>
      </c>
    </row>
    <row r="28" spans="2:4" ht="15.75" thickBot="1" x14ac:dyDescent="0.3">
      <c r="B28" s="10" t="s">
        <v>46</v>
      </c>
      <c r="C28" s="11" t="e">
        <f>COUNTIF(#REF!,"&gt;=3")</f>
        <v>#REF!</v>
      </c>
      <c r="D28" s="12" t="e">
        <f>C28/$C$29</f>
        <v>#REF!</v>
      </c>
    </row>
    <row r="29" spans="2:4" ht="15.75" thickBot="1" x14ac:dyDescent="0.3">
      <c r="B29" s="19" t="s">
        <v>48</v>
      </c>
      <c r="C29" s="20" t="e">
        <f>SUM(C27:C28)</f>
        <v>#REF!</v>
      </c>
      <c r="D29" s="21" t="e">
        <f>SUM(D27:D28)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62"/>
  <sheetViews>
    <sheetView topLeftCell="A2" zoomScale="91" zoomScaleNormal="91" workbookViewId="0">
      <pane xSplit="3" ySplit="3" topLeftCell="D5" activePane="bottomRight" state="frozenSplit"/>
      <selection activeCell="C46" sqref="C46"/>
      <selection pane="topRight" activeCell="C46" sqref="C46"/>
      <selection pane="bottomLeft" activeCell="C46" sqref="C46"/>
      <selection pane="bottomRight" activeCell="G5" sqref="G5"/>
    </sheetView>
  </sheetViews>
  <sheetFormatPr baseColWidth="10" defaultRowHeight="15" x14ac:dyDescent="0.25"/>
  <cols>
    <col min="1" max="1" width="4.42578125" style="67" customWidth="1"/>
    <col min="2" max="2" width="10" style="67" customWidth="1"/>
    <col min="3" max="3" width="36.42578125" style="67" customWidth="1"/>
    <col min="4" max="4" width="8.140625" style="67" customWidth="1"/>
    <col min="5" max="5" width="7.85546875" style="67" bestFit="1" customWidth="1"/>
    <col min="6" max="6" width="11.28515625" style="67" bestFit="1" customWidth="1"/>
    <col min="7" max="7" width="11" style="67" bestFit="1" customWidth="1"/>
    <col min="8" max="8" width="8.140625" style="67" customWidth="1"/>
    <col min="9" max="10" width="8.85546875" style="67" bestFit="1" customWidth="1"/>
    <col min="11" max="11" width="9.28515625" style="67" bestFit="1" customWidth="1"/>
    <col min="12" max="12" width="8.28515625" style="67" bestFit="1" customWidth="1"/>
    <col min="13" max="13" width="8.28515625" style="67" customWidth="1"/>
    <col min="14" max="15" width="7.42578125" style="67" bestFit="1" customWidth="1"/>
    <col min="16" max="16" width="6.28515625" style="67" bestFit="1" customWidth="1"/>
    <col min="17" max="17" width="6.28515625" style="67" customWidth="1"/>
    <col min="18" max="18" width="5" style="67" bestFit="1" customWidth="1"/>
    <col min="19" max="19" width="5.7109375" style="67" bestFit="1" customWidth="1"/>
    <col min="20" max="20" width="6.7109375" style="67" bestFit="1" customWidth="1"/>
    <col min="21" max="21" width="5.140625" style="67" bestFit="1" customWidth="1"/>
    <col min="22" max="22" width="4.85546875" style="67" bestFit="1" customWidth="1"/>
    <col min="23" max="23" width="3.5703125" style="67" hidden="1" customWidth="1"/>
    <col min="24" max="24" width="0" style="67" hidden="1" customWidth="1"/>
    <col min="25" max="25" width="5" style="67" hidden="1" customWidth="1"/>
    <col min="26" max="26" width="45.85546875" style="67" hidden="1" customWidth="1"/>
    <col min="27" max="27" width="14" style="105" hidden="1" customWidth="1"/>
    <col min="28" max="28" width="18" style="105" hidden="1" customWidth="1"/>
    <col min="29" max="29" width="0" style="105" hidden="1" customWidth="1"/>
    <col min="30" max="30" width="19.7109375" style="105" hidden="1" customWidth="1"/>
    <col min="31" max="31" width="0" style="105" hidden="1" customWidth="1"/>
    <col min="32" max="35" width="11.42578125" style="105"/>
    <col min="36" max="36" width="17.42578125" style="105" bestFit="1" customWidth="1"/>
    <col min="37" max="66" width="11.42578125" style="105"/>
    <col min="67" max="16384" width="11.42578125" style="67"/>
  </cols>
  <sheetData>
    <row r="1" spans="1:66" x14ac:dyDescent="0.25">
      <c r="A1" s="137" t="s">
        <v>17</v>
      </c>
      <c r="B1" s="138"/>
      <c r="C1" s="66" t="s">
        <v>316</v>
      </c>
      <c r="D1" s="66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W1" s="143" t="s">
        <v>20</v>
      </c>
    </row>
    <row r="2" spans="1:66" ht="15.75" thickBot="1" x14ac:dyDescent="0.3">
      <c r="A2" s="147" t="s">
        <v>18</v>
      </c>
      <c r="B2" s="148"/>
      <c r="C2" s="68" t="s">
        <v>19</v>
      </c>
      <c r="D2" s="68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2"/>
      <c r="W2" s="144"/>
    </row>
    <row r="3" spans="1:66" ht="101.25" thickBot="1" x14ac:dyDescent="0.3">
      <c r="A3" s="149" t="s">
        <v>0</v>
      </c>
      <c r="B3" s="151" t="s">
        <v>1</v>
      </c>
      <c r="C3" s="69" t="s">
        <v>2</v>
      </c>
      <c r="D3" s="70" t="s">
        <v>127</v>
      </c>
      <c r="E3" s="71" t="s">
        <v>3</v>
      </c>
      <c r="F3" s="71" t="s">
        <v>4</v>
      </c>
      <c r="G3" s="70" t="s">
        <v>5</v>
      </c>
      <c r="H3" s="101" t="s">
        <v>227</v>
      </c>
      <c r="I3" s="101" t="s">
        <v>225</v>
      </c>
      <c r="J3" s="116" t="s">
        <v>6</v>
      </c>
      <c r="K3" s="116" t="s">
        <v>8</v>
      </c>
      <c r="L3" s="70" t="s">
        <v>126</v>
      </c>
      <c r="M3" s="71" t="s">
        <v>10</v>
      </c>
      <c r="N3" s="71" t="s">
        <v>11</v>
      </c>
      <c r="O3" s="71" t="s">
        <v>12</v>
      </c>
      <c r="P3" s="70" t="s">
        <v>128</v>
      </c>
      <c r="Q3" s="71" t="s">
        <v>13</v>
      </c>
      <c r="R3" s="71" t="s">
        <v>14</v>
      </c>
      <c r="S3" s="70" t="s">
        <v>125</v>
      </c>
      <c r="T3" s="72" t="s">
        <v>15</v>
      </c>
      <c r="U3" s="73" t="s">
        <v>16</v>
      </c>
      <c r="V3" s="115" t="s">
        <v>135</v>
      </c>
      <c r="W3" s="145"/>
      <c r="X3" s="126" t="s">
        <v>228</v>
      </c>
      <c r="Y3" s="127" t="s">
        <v>229</v>
      </c>
      <c r="Z3" s="128" t="s">
        <v>230</v>
      </c>
    </row>
    <row r="4" spans="1:66" ht="15.75" thickBot="1" x14ac:dyDescent="0.3">
      <c r="A4" s="150"/>
      <c r="B4" s="152"/>
      <c r="C4" s="74"/>
      <c r="D4" s="75">
        <v>3</v>
      </c>
      <c r="E4" s="75">
        <v>3</v>
      </c>
      <c r="F4" s="75">
        <v>3</v>
      </c>
      <c r="G4" s="75">
        <v>3</v>
      </c>
      <c r="H4" s="75">
        <v>3</v>
      </c>
      <c r="I4" s="75">
        <v>3</v>
      </c>
      <c r="J4" s="75">
        <v>3</v>
      </c>
      <c r="K4" s="75">
        <v>3</v>
      </c>
      <c r="L4" s="75">
        <v>3</v>
      </c>
      <c r="M4" s="75">
        <v>3</v>
      </c>
      <c r="N4" s="75">
        <v>3</v>
      </c>
      <c r="O4" s="75">
        <v>3</v>
      </c>
      <c r="P4" s="75">
        <v>3</v>
      </c>
      <c r="Q4" s="75">
        <v>3</v>
      </c>
      <c r="R4" s="75">
        <v>3</v>
      </c>
      <c r="S4" s="75">
        <v>3</v>
      </c>
      <c r="T4" s="75">
        <v>3</v>
      </c>
      <c r="U4" s="75">
        <v>3</v>
      </c>
      <c r="V4" s="75">
        <v>3</v>
      </c>
      <c r="W4" s="146"/>
      <c r="X4" s="108"/>
      <c r="Y4" s="108"/>
      <c r="Z4" s="108"/>
    </row>
    <row r="5" spans="1:66" s="103" customFormat="1" ht="16.5" thickBot="1" x14ac:dyDescent="0.3">
      <c r="A5" s="104">
        <v>1</v>
      </c>
      <c r="B5" s="129" t="s">
        <v>238</v>
      </c>
      <c r="C5" s="130" t="s">
        <v>274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06">
        <f>COUNTIF(D5:V5,"X")-X5</f>
        <v>0</v>
      </c>
      <c r="X5" s="108">
        <f>COUNTA(D5,G5,L5,P5,S5)</f>
        <v>0</v>
      </c>
      <c r="Y5" s="108">
        <f>COUNTA(J5,K5,V5)</f>
        <v>0</v>
      </c>
      <c r="Z5" s="108" t="str">
        <f>IF(AND(X5=0,Y5=0),"Felicitaciones por el buen rendimiento Académico",IF(AND(X5=1,Y5=1),"Pasas con logros Pendientes",IF(AND(X5=1,Y5=0),"Pasas con logros Pendientes",IF(AND(X5=0,Y5=1),"Pasas con logros Pendientes","Tu año esta en riesgo de perderse"))))</f>
        <v>Felicitaciones por el buen rendimiento Académico</v>
      </c>
      <c r="AA5" s="105">
        <f>X5+Y5</f>
        <v>0</v>
      </c>
      <c r="AB5" s="105"/>
      <c r="AC5" s="105"/>
      <c r="AD5" s="105"/>
      <c r="AE5" s="105"/>
      <c r="AF5" s="125">
        <f>IF(V5="sup",4,IF(V5="Al",3,IF(V5="Ba",2,1)))</f>
        <v>1</v>
      </c>
      <c r="AG5" s="105">
        <f>COUNTIF(G5:V5,"X")</f>
        <v>0</v>
      </c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</row>
    <row r="6" spans="1:66" ht="16.5" thickBot="1" x14ac:dyDescent="0.3">
      <c r="A6" s="104">
        <v>2</v>
      </c>
      <c r="B6" s="129" t="s">
        <v>239</v>
      </c>
      <c r="C6" s="130" t="s">
        <v>275</v>
      </c>
      <c r="D6" s="195"/>
      <c r="E6" s="195"/>
      <c r="F6" s="195"/>
      <c r="G6" s="195"/>
      <c r="H6" s="195"/>
      <c r="I6" s="195"/>
      <c r="J6" s="195"/>
      <c r="K6" s="195"/>
      <c r="L6" s="195"/>
      <c r="M6" s="195" t="s">
        <v>49</v>
      </c>
      <c r="N6" s="195" t="s">
        <v>49</v>
      </c>
      <c r="O6" s="195" t="s">
        <v>49</v>
      </c>
      <c r="P6" s="195"/>
      <c r="Q6" s="195"/>
      <c r="R6" s="195"/>
      <c r="S6" s="195"/>
      <c r="T6" s="195"/>
      <c r="U6" s="195"/>
      <c r="V6" s="195" t="s">
        <v>49</v>
      </c>
      <c r="W6" s="106">
        <f t="shared" ref="W6:W43" si="0">COUNTIF(D6:V6,"X")-X6</f>
        <v>4</v>
      </c>
      <c r="X6" s="108">
        <f t="shared" ref="X6:X43" si="1">COUNTA(D6,G6,L6,P6,S6)</f>
        <v>0</v>
      </c>
      <c r="Y6" s="108">
        <f t="shared" ref="Y6:Y43" si="2">COUNTA(J6,K6,V6)</f>
        <v>1</v>
      </c>
      <c r="Z6" s="108" t="str">
        <f t="shared" ref="Z6:Z43" si="3">IF(AND(X6=0,Y6=0),"Felicitaciones por el buen rendimiento Académico",IF(AND(X6=1,Y6=1),"Pasas con logros Pendientes",IF(AND(X6=1,Y6=0),"Pasas con logros Pendientes",IF(AND(X6=0,Y6=1),"Pasas con logros Pendientes","Tu año esta en riesgo de perderse"))))</f>
        <v>Pasas con logros Pendientes</v>
      </c>
      <c r="AA6" s="105">
        <f t="shared" ref="AA6:AA43" si="4">X6+Y6</f>
        <v>1</v>
      </c>
      <c r="AC6" s="114" t="s">
        <v>137</v>
      </c>
      <c r="AD6" s="114" t="s">
        <v>236</v>
      </c>
      <c r="AF6" s="125">
        <f t="shared" ref="AF6:AF43" si="5">IF(V6="sup",4,IF(V6="Al",3,IF(V6="Ba",2,1)))</f>
        <v>1</v>
      </c>
      <c r="AG6" s="105">
        <f t="shared" ref="AG6:AG43" si="6">COUNTIF(G6:V6,"X")</f>
        <v>4</v>
      </c>
      <c r="AJ6" s="105" t="s">
        <v>324</v>
      </c>
      <c r="AK6" s="105" t="s">
        <v>314</v>
      </c>
      <c r="AL6" s="204" t="s">
        <v>47</v>
      </c>
    </row>
    <row r="7" spans="1:66" ht="16.5" thickBot="1" x14ac:dyDescent="0.3">
      <c r="A7" s="104">
        <v>3</v>
      </c>
      <c r="B7" s="129" t="s">
        <v>240</v>
      </c>
      <c r="C7" s="130" t="s">
        <v>276</v>
      </c>
      <c r="D7" s="195"/>
      <c r="E7" s="195"/>
      <c r="F7" s="195"/>
      <c r="G7" s="195"/>
      <c r="H7" s="195"/>
      <c r="I7" s="195"/>
      <c r="J7" s="195"/>
      <c r="K7" s="195"/>
      <c r="L7" s="195"/>
      <c r="M7" s="195" t="s">
        <v>49</v>
      </c>
      <c r="N7" s="195"/>
      <c r="O7" s="195" t="s">
        <v>49</v>
      </c>
      <c r="P7" s="195"/>
      <c r="Q7" s="195"/>
      <c r="R7" s="195"/>
      <c r="S7" s="195"/>
      <c r="T7" s="195"/>
      <c r="U7" s="195"/>
      <c r="V7" s="195"/>
      <c r="W7" s="106">
        <f t="shared" si="0"/>
        <v>2</v>
      </c>
      <c r="X7" s="108">
        <f>COUNTA(D7,G7,L7,P7,S7)</f>
        <v>0</v>
      </c>
      <c r="Y7" s="108">
        <f t="shared" si="2"/>
        <v>0</v>
      </c>
      <c r="Z7" s="108" t="str">
        <f t="shared" si="3"/>
        <v>Felicitaciones por el buen rendimiento Académico</v>
      </c>
      <c r="AA7" s="105">
        <f t="shared" si="4"/>
        <v>0</v>
      </c>
      <c r="AC7" s="113" t="s">
        <v>24</v>
      </c>
      <c r="AD7" s="110">
        <f>COUNTIF($AA$5:$AA$43,"0")</f>
        <v>26</v>
      </c>
      <c r="AF7" s="125">
        <f t="shared" si="5"/>
        <v>1</v>
      </c>
      <c r="AG7" s="105">
        <f t="shared" si="6"/>
        <v>2</v>
      </c>
      <c r="AJ7" s="105" t="s">
        <v>322</v>
      </c>
      <c r="AK7" s="105">
        <f>COUNTIF($AG$5:$AG$43,"&gt;0")</f>
        <v>19</v>
      </c>
      <c r="AL7" s="202">
        <f>AK7/$AK$9</f>
        <v>0.48717948717948717</v>
      </c>
    </row>
    <row r="8" spans="1:66" ht="16.5" thickBot="1" x14ac:dyDescent="0.3">
      <c r="A8" s="104">
        <v>4</v>
      </c>
      <c r="B8" s="129" t="s">
        <v>241</v>
      </c>
      <c r="C8" s="130" t="s">
        <v>277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06">
        <f t="shared" si="0"/>
        <v>0</v>
      </c>
      <c r="X8" s="108">
        <f t="shared" si="1"/>
        <v>0</v>
      </c>
      <c r="Y8" s="108">
        <f t="shared" si="2"/>
        <v>0</v>
      </c>
      <c r="Z8" s="108" t="str">
        <f t="shared" si="3"/>
        <v>Felicitaciones por el buen rendimiento Académico</v>
      </c>
      <c r="AA8" s="105">
        <f t="shared" si="4"/>
        <v>0</v>
      </c>
      <c r="AC8" s="113" t="s">
        <v>25</v>
      </c>
      <c r="AD8" s="110">
        <f>COUNTIF($AA$5:$AA$43,"1")</f>
        <v>8</v>
      </c>
      <c r="AF8" s="125">
        <f t="shared" si="5"/>
        <v>1</v>
      </c>
      <c r="AG8" s="105">
        <f t="shared" si="6"/>
        <v>0</v>
      </c>
      <c r="AJ8" s="105" t="s">
        <v>323</v>
      </c>
      <c r="AK8" s="105">
        <f>COUNTIF($AG$5:$AG$43,"=0")</f>
        <v>20</v>
      </c>
      <c r="AL8" s="202">
        <f>AK8/$AK$9</f>
        <v>0.51282051282051277</v>
      </c>
    </row>
    <row r="9" spans="1:66" ht="16.5" thickBot="1" x14ac:dyDescent="0.3">
      <c r="A9" s="104">
        <v>5</v>
      </c>
      <c r="B9" s="129" t="s">
        <v>242</v>
      </c>
      <c r="C9" s="130" t="s">
        <v>278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06">
        <f t="shared" si="0"/>
        <v>0</v>
      </c>
      <c r="X9" s="108">
        <f t="shared" si="1"/>
        <v>0</v>
      </c>
      <c r="Y9" s="108">
        <f t="shared" si="2"/>
        <v>0</v>
      </c>
      <c r="Z9" s="108" t="str">
        <f>IF(AND(X9=0,Y9=0),"Felicitaciones por el buen rendimiento Académico",IF(AND(X9=1,Y9=1),"Pasas con logros Pendientes",IF(AND(X9=1,Y9=0),"Pasas con logros Pendientes",IF(AND(X9=0,Y9=1),"Pasas con logros Pendientes","Tu año esta en riesgo de perderse"))))</f>
        <v>Felicitaciones por el buen rendimiento Académico</v>
      </c>
      <c r="AA9" s="105">
        <f t="shared" si="4"/>
        <v>0</v>
      </c>
      <c r="AC9" s="113" t="s">
        <v>26</v>
      </c>
      <c r="AD9" s="110">
        <f>COUNTIF($AA$5:$AA$43,"2")</f>
        <v>0</v>
      </c>
      <c r="AF9" s="125">
        <f t="shared" si="5"/>
        <v>1</v>
      </c>
      <c r="AG9" s="105">
        <f t="shared" si="6"/>
        <v>0</v>
      </c>
      <c r="AK9" s="105">
        <f>SUM(AK7:AK8)</f>
        <v>39</v>
      </c>
      <c r="AL9" s="203">
        <f>SUM(AL7:AL8)</f>
        <v>1</v>
      </c>
    </row>
    <row r="10" spans="1:66" ht="16.5" thickBot="1" x14ac:dyDescent="0.3">
      <c r="A10" s="104">
        <v>6</v>
      </c>
      <c r="B10" s="129" t="s">
        <v>243</v>
      </c>
      <c r="C10" s="130" t="s">
        <v>279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 t="s">
        <v>49</v>
      </c>
      <c r="N10" s="195"/>
      <c r="O10" s="195" t="s">
        <v>49</v>
      </c>
      <c r="P10" s="195"/>
      <c r="Q10" s="195"/>
      <c r="R10" s="195"/>
      <c r="S10" s="195"/>
      <c r="T10" s="195"/>
      <c r="U10" s="195"/>
      <c r="V10" s="195"/>
      <c r="W10" s="106">
        <f t="shared" si="0"/>
        <v>2</v>
      </c>
      <c r="X10" s="108">
        <f t="shared" si="1"/>
        <v>0</v>
      </c>
      <c r="Y10" s="108">
        <f t="shared" si="2"/>
        <v>0</v>
      </c>
      <c r="Z10" s="108" t="str">
        <f t="shared" si="3"/>
        <v>Felicitaciones por el buen rendimiento Académico</v>
      </c>
      <c r="AA10" s="105">
        <f t="shared" si="4"/>
        <v>0</v>
      </c>
      <c r="AC10" s="113" t="s">
        <v>27</v>
      </c>
      <c r="AD10" s="110">
        <f>COUNTIF($AA$5:$AA$43,"3")</f>
        <v>2</v>
      </c>
      <c r="AF10" s="125">
        <f t="shared" si="5"/>
        <v>1</v>
      </c>
      <c r="AG10" s="105">
        <f t="shared" si="6"/>
        <v>2</v>
      </c>
    </row>
    <row r="11" spans="1:66" ht="16.5" thickBot="1" x14ac:dyDescent="0.3">
      <c r="A11" s="104">
        <v>7</v>
      </c>
      <c r="B11" s="129" t="s">
        <v>244</v>
      </c>
      <c r="C11" s="130" t="s">
        <v>280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06">
        <f t="shared" si="0"/>
        <v>0</v>
      </c>
      <c r="X11" s="108">
        <f t="shared" si="1"/>
        <v>0</v>
      </c>
      <c r="Y11" s="108">
        <f t="shared" si="2"/>
        <v>0</v>
      </c>
      <c r="Z11" s="108" t="str">
        <f t="shared" si="3"/>
        <v>Felicitaciones por el buen rendimiento Académico</v>
      </c>
      <c r="AA11" s="105">
        <f t="shared" si="4"/>
        <v>0</v>
      </c>
      <c r="AC11" s="113" t="s">
        <v>28</v>
      </c>
      <c r="AD11" s="110">
        <f>COUNTIF($AA$5:$AA$43,"4")</f>
        <v>0</v>
      </c>
      <c r="AF11" s="125">
        <f t="shared" si="5"/>
        <v>1</v>
      </c>
      <c r="AG11" s="105">
        <f t="shared" si="6"/>
        <v>0</v>
      </c>
    </row>
    <row r="12" spans="1:66" ht="16.5" thickBot="1" x14ac:dyDescent="0.3">
      <c r="A12" s="104">
        <v>8</v>
      </c>
      <c r="B12" s="201">
        <v>210186</v>
      </c>
      <c r="C12" s="130" t="s">
        <v>319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 t="s">
        <v>49</v>
      </c>
      <c r="N12" s="195"/>
      <c r="O12" s="195" t="s">
        <v>49</v>
      </c>
      <c r="P12" s="195"/>
      <c r="Q12" s="195"/>
      <c r="R12" s="195"/>
      <c r="S12" s="195"/>
      <c r="T12" s="195"/>
      <c r="U12" s="195"/>
      <c r="V12" s="195" t="s">
        <v>49</v>
      </c>
      <c r="W12" s="106"/>
      <c r="X12" s="108"/>
      <c r="Y12" s="108"/>
      <c r="Z12" s="108"/>
      <c r="AC12" s="199"/>
      <c r="AD12" s="200"/>
      <c r="AF12" s="125"/>
      <c r="AG12" s="105">
        <f t="shared" si="6"/>
        <v>3</v>
      </c>
    </row>
    <row r="13" spans="1:66" ht="16.5" thickBot="1" x14ac:dyDescent="0.3">
      <c r="A13" s="104">
        <v>9</v>
      </c>
      <c r="B13" s="129" t="s">
        <v>245</v>
      </c>
      <c r="C13" s="130" t="s">
        <v>281</v>
      </c>
      <c r="D13" s="195"/>
      <c r="E13" s="195"/>
      <c r="F13" s="195"/>
      <c r="G13" s="195"/>
      <c r="H13" s="195"/>
      <c r="I13" s="195"/>
      <c r="J13" s="195" t="s">
        <v>49</v>
      </c>
      <c r="K13" s="195" t="s">
        <v>49</v>
      </c>
      <c r="L13" s="195"/>
      <c r="M13" s="195" t="s">
        <v>49</v>
      </c>
      <c r="N13" s="195" t="s">
        <v>49</v>
      </c>
      <c r="O13" s="195" t="s">
        <v>49</v>
      </c>
      <c r="P13" s="195"/>
      <c r="Q13" s="195"/>
      <c r="R13" s="195"/>
      <c r="S13" s="195"/>
      <c r="T13" s="195"/>
      <c r="U13" s="195"/>
      <c r="V13" s="195" t="s">
        <v>49</v>
      </c>
      <c r="W13" s="106">
        <f t="shared" si="0"/>
        <v>6</v>
      </c>
      <c r="X13" s="108">
        <f t="shared" si="1"/>
        <v>0</v>
      </c>
      <c r="Y13" s="108">
        <f t="shared" si="2"/>
        <v>3</v>
      </c>
      <c r="Z13" s="108" t="str">
        <f t="shared" si="3"/>
        <v>Tu año esta en riesgo de perderse</v>
      </c>
      <c r="AA13" s="105">
        <f t="shared" si="4"/>
        <v>3</v>
      </c>
      <c r="AC13" s="113" t="s">
        <v>29</v>
      </c>
      <c r="AD13" s="110">
        <f>COUNTIF($AA$5:$AA$43,"5")</f>
        <v>0</v>
      </c>
      <c r="AF13" s="125">
        <f t="shared" si="5"/>
        <v>1</v>
      </c>
      <c r="AG13" s="105">
        <f t="shared" si="6"/>
        <v>6</v>
      </c>
    </row>
    <row r="14" spans="1:66" ht="16.5" thickBot="1" x14ac:dyDescent="0.3">
      <c r="A14" s="104">
        <v>10</v>
      </c>
      <c r="B14" s="129" t="s">
        <v>246</v>
      </c>
      <c r="C14" s="130" t="s">
        <v>282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06">
        <f t="shared" si="0"/>
        <v>0</v>
      </c>
      <c r="X14" s="108">
        <f t="shared" si="1"/>
        <v>0</v>
      </c>
      <c r="Y14" s="108">
        <f t="shared" si="2"/>
        <v>0</v>
      </c>
      <c r="Z14" s="108" t="str">
        <f t="shared" si="3"/>
        <v>Felicitaciones por el buen rendimiento Académico</v>
      </c>
      <c r="AA14" s="105">
        <f t="shared" si="4"/>
        <v>0</v>
      </c>
      <c r="AC14" s="113" t="s">
        <v>30</v>
      </c>
      <c r="AD14" s="110">
        <f>COUNTIF($AA$5:$AA$43,"6")</f>
        <v>0</v>
      </c>
      <c r="AF14" s="125">
        <f t="shared" si="5"/>
        <v>1</v>
      </c>
      <c r="AG14" s="105">
        <f t="shared" si="6"/>
        <v>0</v>
      </c>
    </row>
    <row r="15" spans="1:66" ht="16.5" thickBot="1" x14ac:dyDescent="0.3">
      <c r="A15" s="104">
        <v>11</v>
      </c>
      <c r="B15" s="201">
        <v>141066</v>
      </c>
      <c r="C15" s="130" t="s">
        <v>320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 t="s">
        <v>49</v>
      </c>
      <c r="W15" s="106"/>
      <c r="X15" s="108"/>
      <c r="Y15" s="108"/>
      <c r="Z15" s="108"/>
      <c r="AC15" s="199"/>
      <c r="AD15" s="200"/>
      <c r="AF15" s="125"/>
      <c r="AG15" s="105">
        <f t="shared" si="6"/>
        <v>1</v>
      </c>
    </row>
    <row r="16" spans="1:66" ht="16.5" thickBot="1" x14ac:dyDescent="0.3">
      <c r="A16" s="104">
        <v>12</v>
      </c>
      <c r="B16" s="129" t="s">
        <v>247</v>
      </c>
      <c r="C16" s="130" t="s">
        <v>283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 t="s">
        <v>49</v>
      </c>
      <c r="P16" s="195"/>
      <c r="Q16" s="195"/>
      <c r="R16" s="195"/>
      <c r="S16" s="195"/>
      <c r="T16" s="195"/>
      <c r="U16" s="195"/>
      <c r="V16" s="195"/>
      <c r="W16" s="106">
        <f t="shared" si="0"/>
        <v>1</v>
      </c>
      <c r="X16" s="108">
        <f t="shared" si="1"/>
        <v>0</v>
      </c>
      <c r="Y16" s="108">
        <f t="shared" si="2"/>
        <v>0</v>
      </c>
      <c r="Z16" s="108" t="str">
        <f t="shared" si="3"/>
        <v>Felicitaciones por el buen rendimiento Académico</v>
      </c>
      <c r="AA16" s="105">
        <f t="shared" si="4"/>
        <v>0</v>
      </c>
      <c r="AC16" s="113" t="s">
        <v>31</v>
      </c>
      <c r="AD16" s="110">
        <f>COUNTIF($AA$5:$AA$43,"7")</f>
        <v>0</v>
      </c>
      <c r="AF16" s="125">
        <f t="shared" si="5"/>
        <v>1</v>
      </c>
      <c r="AG16" s="105">
        <f t="shared" si="6"/>
        <v>1</v>
      </c>
    </row>
    <row r="17" spans="1:66" ht="16.5" thickBot="1" x14ac:dyDescent="0.3">
      <c r="A17" s="104">
        <v>13</v>
      </c>
      <c r="B17" s="129" t="s">
        <v>248</v>
      </c>
      <c r="C17" s="130" t="s">
        <v>284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5" t="s">
        <v>49</v>
      </c>
      <c r="N17" s="195"/>
      <c r="O17" s="195" t="s">
        <v>49</v>
      </c>
      <c r="P17" s="195"/>
      <c r="Q17" s="195"/>
      <c r="R17" s="195"/>
      <c r="S17" s="195"/>
      <c r="T17" s="195"/>
      <c r="U17" s="195"/>
      <c r="V17" s="195"/>
      <c r="W17" s="106">
        <f t="shared" si="0"/>
        <v>2</v>
      </c>
      <c r="X17" s="108">
        <f t="shared" si="1"/>
        <v>0</v>
      </c>
      <c r="Y17" s="108">
        <f t="shared" si="2"/>
        <v>0</v>
      </c>
      <c r="Z17" s="108" t="str">
        <f t="shared" si="3"/>
        <v>Felicitaciones por el buen rendimiento Académico</v>
      </c>
      <c r="AA17" s="105">
        <f t="shared" si="4"/>
        <v>0</v>
      </c>
      <c r="AC17" s="113" t="s">
        <v>32</v>
      </c>
      <c r="AD17" s="110">
        <f>COUNTIF($AA$5:$AA$43,"8")</f>
        <v>0</v>
      </c>
      <c r="AF17" s="125">
        <f t="shared" si="5"/>
        <v>1</v>
      </c>
      <c r="AG17" s="105">
        <f t="shared" si="6"/>
        <v>2</v>
      </c>
    </row>
    <row r="18" spans="1:66" ht="16.5" thickBot="1" x14ac:dyDescent="0.3">
      <c r="A18" s="104">
        <v>14</v>
      </c>
      <c r="B18" s="129" t="s">
        <v>249</v>
      </c>
      <c r="C18" s="130" t="s">
        <v>285</v>
      </c>
      <c r="D18" s="195"/>
      <c r="E18" s="195"/>
      <c r="F18" s="195"/>
      <c r="G18" s="195"/>
      <c r="H18" s="195"/>
      <c r="I18" s="195"/>
      <c r="J18" s="195"/>
      <c r="K18" s="195"/>
      <c r="L18" s="195"/>
      <c r="M18" s="195" t="s">
        <v>49</v>
      </c>
      <c r="N18" s="195"/>
      <c r="O18" s="195" t="s">
        <v>49</v>
      </c>
      <c r="P18" s="195"/>
      <c r="Q18" s="195"/>
      <c r="R18" s="195"/>
      <c r="S18" s="195"/>
      <c r="T18" s="195"/>
      <c r="U18" s="195"/>
      <c r="V18" s="195"/>
      <c r="W18" s="106">
        <f t="shared" si="0"/>
        <v>2</v>
      </c>
      <c r="X18" s="108">
        <f t="shared" si="1"/>
        <v>0</v>
      </c>
      <c r="Y18" s="108">
        <f t="shared" si="2"/>
        <v>0</v>
      </c>
      <c r="Z18" s="108" t="str">
        <f t="shared" si="3"/>
        <v>Felicitaciones por el buen rendimiento Académico</v>
      </c>
      <c r="AA18" s="105">
        <f t="shared" si="4"/>
        <v>0</v>
      </c>
      <c r="AC18" s="112"/>
      <c r="AF18" s="125">
        <f t="shared" si="5"/>
        <v>1</v>
      </c>
      <c r="AG18" s="105">
        <f t="shared" si="6"/>
        <v>2</v>
      </c>
    </row>
    <row r="19" spans="1:66" s="103" customFormat="1" ht="15.75" thickBot="1" x14ac:dyDescent="0.3">
      <c r="A19" s="104">
        <v>15</v>
      </c>
      <c r="B19" s="129" t="s">
        <v>250</v>
      </c>
      <c r="C19" s="130" t="s">
        <v>286</v>
      </c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07">
        <f t="shared" si="0"/>
        <v>0</v>
      </c>
      <c r="X19" s="108">
        <f t="shared" si="1"/>
        <v>0</v>
      </c>
      <c r="Y19" s="108">
        <f t="shared" si="2"/>
        <v>0</v>
      </c>
      <c r="Z19" s="108" t="str">
        <f t="shared" si="3"/>
        <v>Felicitaciones por el buen rendimiento Académico</v>
      </c>
      <c r="AA19" s="105">
        <f t="shared" si="4"/>
        <v>0</v>
      </c>
      <c r="AB19" s="105"/>
      <c r="AC19" s="112"/>
      <c r="AD19" s="105"/>
      <c r="AE19" s="105"/>
      <c r="AF19" s="125">
        <f t="shared" si="5"/>
        <v>1</v>
      </c>
      <c r="AG19" s="105">
        <f t="shared" si="6"/>
        <v>0</v>
      </c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</row>
    <row r="20" spans="1:66" s="103" customFormat="1" ht="15.75" thickBot="1" x14ac:dyDescent="0.3">
      <c r="A20" s="104">
        <v>16</v>
      </c>
      <c r="B20" s="129" t="s">
        <v>251</v>
      </c>
      <c r="C20" s="130" t="s">
        <v>287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07"/>
      <c r="X20" s="108">
        <f t="shared" si="1"/>
        <v>0</v>
      </c>
      <c r="Y20" s="108">
        <f t="shared" si="2"/>
        <v>0</v>
      </c>
      <c r="Z20" s="108" t="str">
        <f t="shared" si="3"/>
        <v>Felicitaciones por el buen rendimiento Académico</v>
      </c>
      <c r="AA20" s="105">
        <f t="shared" si="4"/>
        <v>0</v>
      </c>
      <c r="AB20" s="105"/>
      <c r="AC20" s="112"/>
      <c r="AD20" s="105"/>
      <c r="AE20" s="105"/>
      <c r="AF20" s="125">
        <f t="shared" si="5"/>
        <v>1</v>
      </c>
      <c r="AG20" s="105">
        <f t="shared" si="6"/>
        <v>0</v>
      </c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</row>
    <row r="21" spans="1:66" ht="16.5" thickBot="1" x14ac:dyDescent="0.3">
      <c r="A21" s="104">
        <v>17</v>
      </c>
      <c r="B21" s="129" t="s">
        <v>252</v>
      </c>
      <c r="C21" s="130" t="s">
        <v>288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06">
        <f t="shared" si="0"/>
        <v>0</v>
      </c>
      <c r="X21" s="108">
        <f t="shared" si="1"/>
        <v>0</v>
      </c>
      <c r="Y21" s="108">
        <f t="shared" si="2"/>
        <v>0</v>
      </c>
      <c r="Z21" s="108" t="str">
        <f t="shared" si="3"/>
        <v>Felicitaciones por el buen rendimiento Académico</v>
      </c>
      <c r="AA21" s="105">
        <f t="shared" si="4"/>
        <v>0</v>
      </c>
      <c r="AF21" s="125">
        <f t="shared" si="5"/>
        <v>1</v>
      </c>
      <c r="AG21" s="105">
        <f t="shared" si="6"/>
        <v>0</v>
      </c>
    </row>
    <row r="22" spans="1:66" ht="16.5" thickBot="1" x14ac:dyDescent="0.3">
      <c r="A22" s="104">
        <v>18</v>
      </c>
      <c r="B22" s="129" t="s">
        <v>253</v>
      </c>
      <c r="C22" s="130" t="s">
        <v>289</v>
      </c>
      <c r="D22" s="195"/>
      <c r="E22" s="195"/>
      <c r="F22" s="195"/>
      <c r="G22" s="195"/>
      <c r="H22" s="195"/>
      <c r="I22" s="195"/>
      <c r="J22" s="195" t="s">
        <v>49</v>
      </c>
      <c r="K22" s="195"/>
      <c r="L22" s="195"/>
      <c r="M22" s="195" t="s">
        <v>49</v>
      </c>
      <c r="N22" s="195"/>
      <c r="O22" s="195" t="s">
        <v>49</v>
      </c>
      <c r="P22" s="195"/>
      <c r="Q22" s="195"/>
      <c r="R22" s="195"/>
      <c r="S22" s="195"/>
      <c r="T22" s="195"/>
      <c r="U22" s="195"/>
      <c r="V22" s="195"/>
      <c r="W22" s="106">
        <f t="shared" si="0"/>
        <v>3</v>
      </c>
      <c r="X22" s="108">
        <f t="shared" si="1"/>
        <v>0</v>
      </c>
      <c r="Y22" s="108">
        <f t="shared" si="2"/>
        <v>1</v>
      </c>
      <c r="Z22" s="108" t="str">
        <f t="shared" si="3"/>
        <v>Pasas con logros Pendientes</v>
      </c>
      <c r="AA22" s="105">
        <f t="shared" si="4"/>
        <v>1</v>
      </c>
      <c r="AF22" s="125">
        <f t="shared" si="5"/>
        <v>1</v>
      </c>
      <c r="AG22" s="105">
        <f t="shared" si="6"/>
        <v>3</v>
      </c>
    </row>
    <row r="23" spans="1:66" ht="16.5" thickBot="1" x14ac:dyDescent="0.3">
      <c r="A23" s="104">
        <v>19</v>
      </c>
      <c r="B23" s="129" t="s">
        <v>254</v>
      </c>
      <c r="C23" s="130" t="s">
        <v>290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06">
        <f t="shared" si="0"/>
        <v>0</v>
      </c>
      <c r="X23" s="108">
        <f t="shared" si="1"/>
        <v>0</v>
      </c>
      <c r="Y23" s="108">
        <f t="shared" si="2"/>
        <v>0</v>
      </c>
      <c r="Z23" s="108" t="str">
        <f t="shared" si="3"/>
        <v>Felicitaciones por el buen rendimiento Académico</v>
      </c>
      <c r="AA23" s="105">
        <f t="shared" si="4"/>
        <v>0</v>
      </c>
      <c r="AF23" s="125">
        <f t="shared" si="5"/>
        <v>1</v>
      </c>
      <c r="AG23" s="105">
        <f t="shared" si="6"/>
        <v>0</v>
      </c>
    </row>
    <row r="24" spans="1:66" ht="16.5" thickBot="1" x14ac:dyDescent="0.3">
      <c r="A24" s="104">
        <v>20</v>
      </c>
      <c r="B24" s="129" t="s">
        <v>255</v>
      </c>
      <c r="C24" s="130" t="s">
        <v>291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06">
        <f t="shared" si="0"/>
        <v>0</v>
      </c>
      <c r="X24" s="108">
        <f t="shared" si="1"/>
        <v>0</v>
      </c>
      <c r="Y24" s="108">
        <f t="shared" si="2"/>
        <v>0</v>
      </c>
      <c r="Z24" s="108" t="str">
        <f t="shared" si="3"/>
        <v>Felicitaciones por el buen rendimiento Académico</v>
      </c>
      <c r="AA24" s="105">
        <f t="shared" si="4"/>
        <v>0</v>
      </c>
      <c r="AF24" s="125">
        <f t="shared" si="5"/>
        <v>1</v>
      </c>
      <c r="AG24" s="105">
        <f t="shared" si="6"/>
        <v>0</v>
      </c>
    </row>
    <row r="25" spans="1:66" ht="16.5" thickBot="1" x14ac:dyDescent="0.3">
      <c r="A25" s="104">
        <v>21</v>
      </c>
      <c r="B25" s="129" t="s">
        <v>256</v>
      </c>
      <c r="C25" s="131" t="s">
        <v>292</v>
      </c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06">
        <f t="shared" si="0"/>
        <v>0</v>
      </c>
      <c r="X25" s="108">
        <f t="shared" si="1"/>
        <v>0</v>
      </c>
      <c r="Y25" s="108">
        <f t="shared" si="2"/>
        <v>0</v>
      </c>
      <c r="Z25" s="108" t="str">
        <f t="shared" si="3"/>
        <v>Felicitaciones por el buen rendimiento Académico</v>
      </c>
      <c r="AA25" s="105">
        <f t="shared" si="4"/>
        <v>0</v>
      </c>
      <c r="AF25" s="125">
        <f t="shared" si="5"/>
        <v>1</v>
      </c>
      <c r="AG25" s="105">
        <f t="shared" si="6"/>
        <v>0</v>
      </c>
    </row>
    <row r="26" spans="1:66" ht="16.5" thickBot="1" x14ac:dyDescent="0.3">
      <c r="A26" s="104">
        <v>22</v>
      </c>
      <c r="B26" s="129" t="s">
        <v>257</v>
      </c>
      <c r="C26" s="130" t="s">
        <v>293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06">
        <f t="shared" si="0"/>
        <v>0</v>
      </c>
      <c r="X26" s="108">
        <f t="shared" si="1"/>
        <v>0</v>
      </c>
      <c r="Y26" s="108">
        <f t="shared" si="2"/>
        <v>0</v>
      </c>
      <c r="Z26" s="108" t="str">
        <f t="shared" si="3"/>
        <v>Felicitaciones por el buen rendimiento Académico</v>
      </c>
      <c r="AA26" s="105">
        <f t="shared" si="4"/>
        <v>0</v>
      </c>
      <c r="AF26" s="125">
        <f t="shared" si="5"/>
        <v>1</v>
      </c>
      <c r="AG26" s="105">
        <f t="shared" si="6"/>
        <v>0</v>
      </c>
    </row>
    <row r="27" spans="1:66" ht="16.5" thickBot="1" x14ac:dyDescent="0.3">
      <c r="A27" s="104">
        <v>23</v>
      </c>
      <c r="B27" s="201">
        <v>210181</v>
      </c>
      <c r="C27" s="130" t="s">
        <v>321</v>
      </c>
      <c r="D27" s="195"/>
      <c r="E27" s="195"/>
      <c r="F27" s="195"/>
      <c r="G27" s="195"/>
      <c r="H27" s="195"/>
      <c r="I27" s="195"/>
      <c r="J27" s="195"/>
      <c r="K27" s="195" t="s">
        <v>49</v>
      </c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06"/>
      <c r="X27" s="108"/>
      <c r="Y27" s="108"/>
      <c r="Z27" s="108"/>
      <c r="AF27" s="125"/>
      <c r="AG27" s="105">
        <f t="shared" si="6"/>
        <v>1</v>
      </c>
    </row>
    <row r="28" spans="1:66" ht="16.5" thickBot="1" x14ac:dyDescent="0.3">
      <c r="A28" s="104">
        <v>24</v>
      </c>
      <c r="B28" s="129" t="s">
        <v>258</v>
      </c>
      <c r="C28" s="130" t="s">
        <v>294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 t="s">
        <v>49</v>
      </c>
      <c r="O28" s="195" t="s">
        <v>49</v>
      </c>
      <c r="P28" s="195"/>
      <c r="Q28" s="195"/>
      <c r="R28" s="195"/>
      <c r="S28" s="195"/>
      <c r="T28" s="195"/>
      <c r="U28" s="195"/>
      <c r="V28" s="195" t="s">
        <v>49</v>
      </c>
      <c r="W28" s="106">
        <f t="shared" si="0"/>
        <v>3</v>
      </c>
      <c r="X28" s="108">
        <f t="shared" si="1"/>
        <v>0</v>
      </c>
      <c r="Y28" s="108">
        <f t="shared" si="2"/>
        <v>1</v>
      </c>
      <c r="Z28" s="108" t="str">
        <f t="shared" si="3"/>
        <v>Pasas con logros Pendientes</v>
      </c>
      <c r="AA28" s="105">
        <f t="shared" si="4"/>
        <v>1</v>
      </c>
      <c r="AF28" s="125">
        <f t="shared" si="5"/>
        <v>1</v>
      </c>
      <c r="AG28" s="105">
        <f t="shared" si="6"/>
        <v>3</v>
      </c>
    </row>
    <row r="29" spans="1:66" ht="16.5" thickBot="1" x14ac:dyDescent="0.3">
      <c r="A29" s="104">
        <v>25</v>
      </c>
      <c r="B29" s="129" t="s">
        <v>259</v>
      </c>
      <c r="C29" s="130" t="s">
        <v>295</v>
      </c>
      <c r="D29" s="195"/>
      <c r="E29" s="195"/>
      <c r="F29" s="195"/>
      <c r="G29" s="195"/>
      <c r="H29" s="195"/>
      <c r="I29" s="195"/>
      <c r="J29" s="195"/>
      <c r="K29" s="195"/>
      <c r="L29" s="195"/>
      <c r="M29" s="195" t="s">
        <v>49</v>
      </c>
      <c r="N29" s="195"/>
      <c r="O29" s="195" t="s">
        <v>49</v>
      </c>
      <c r="P29" s="195"/>
      <c r="Q29" s="195"/>
      <c r="R29" s="195"/>
      <c r="S29" s="195"/>
      <c r="T29" s="195"/>
      <c r="U29" s="195"/>
      <c r="V29" s="195" t="s">
        <v>49</v>
      </c>
      <c r="W29" s="106">
        <f t="shared" si="0"/>
        <v>3</v>
      </c>
      <c r="X29" s="108">
        <f t="shared" si="1"/>
        <v>0</v>
      </c>
      <c r="Y29" s="108">
        <f t="shared" si="2"/>
        <v>1</v>
      </c>
      <c r="Z29" s="108" t="str">
        <f t="shared" si="3"/>
        <v>Pasas con logros Pendientes</v>
      </c>
      <c r="AA29" s="105">
        <f t="shared" si="4"/>
        <v>1</v>
      </c>
      <c r="AF29" s="125">
        <f t="shared" si="5"/>
        <v>1</v>
      </c>
      <c r="AG29" s="105">
        <f t="shared" si="6"/>
        <v>3</v>
      </c>
    </row>
    <row r="30" spans="1:66" ht="16.5" thickBot="1" x14ac:dyDescent="0.3">
      <c r="A30" s="104">
        <v>26</v>
      </c>
      <c r="B30" s="129" t="s">
        <v>260</v>
      </c>
      <c r="C30" s="130" t="s">
        <v>296</v>
      </c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06">
        <f t="shared" si="0"/>
        <v>0</v>
      </c>
      <c r="X30" s="108">
        <f t="shared" si="1"/>
        <v>0</v>
      </c>
      <c r="Y30" s="108">
        <f t="shared" si="2"/>
        <v>0</v>
      </c>
      <c r="Z30" s="108" t="str">
        <f t="shared" si="3"/>
        <v>Felicitaciones por el buen rendimiento Académico</v>
      </c>
      <c r="AA30" s="105">
        <f t="shared" si="4"/>
        <v>0</v>
      </c>
      <c r="AF30" s="125">
        <f t="shared" si="5"/>
        <v>1</v>
      </c>
      <c r="AG30" s="105">
        <f t="shared" si="6"/>
        <v>0</v>
      </c>
    </row>
    <row r="31" spans="1:66" ht="16.5" thickBot="1" x14ac:dyDescent="0.3">
      <c r="A31" s="104">
        <v>27</v>
      </c>
      <c r="B31" s="129" t="s">
        <v>261</v>
      </c>
      <c r="C31" s="130" t="s">
        <v>297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06">
        <f t="shared" si="0"/>
        <v>0</v>
      </c>
      <c r="X31" s="108">
        <f t="shared" si="1"/>
        <v>0</v>
      </c>
      <c r="Y31" s="108">
        <f t="shared" si="2"/>
        <v>0</v>
      </c>
      <c r="Z31" s="108" t="str">
        <f t="shared" si="3"/>
        <v>Felicitaciones por el buen rendimiento Académico</v>
      </c>
      <c r="AA31" s="105">
        <f t="shared" si="4"/>
        <v>0</v>
      </c>
      <c r="AF31" s="125">
        <f t="shared" si="5"/>
        <v>1</v>
      </c>
      <c r="AG31" s="105">
        <f t="shared" si="6"/>
        <v>0</v>
      </c>
    </row>
    <row r="32" spans="1:66" ht="16.5" thickBot="1" x14ac:dyDescent="0.3">
      <c r="A32" s="104">
        <v>28</v>
      </c>
      <c r="B32" s="129" t="s">
        <v>262</v>
      </c>
      <c r="C32" s="130" t="s">
        <v>298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 t="s">
        <v>49</v>
      </c>
      <c r="O32" s="195"/>
      <c r="P32" s="195"/>
      <c r="Q32" s="195"/>
      <c r="R32" s="195"/>
      <c r="S32" s="195"/>
      <c r="T32" s="195"/>
      <c r="U32" s="195"/>
      <c r="V32" s="195" t="s">
        <v>49</v>
      </c>
      <c r="W32" s="106">
        <f t="shared" si="0"/>
        <v>2</v>
      </c>
      <c r="X32" s="108">
        <f t="shared" si="1"/>
        <v>0</v>
      </c>
      <c r="Y32" s="108">
        <f t="shared" si="2"/>
        <v>1</v>
      </c>
      <c r="Z32" s="108" t="str">
        <f t="shared" si="3"/>
        <v>Pasas con logros Pendientes</v>
      </c>
      <c r="AA32" s="105">
        <f t="shared" si="4"/>
        <v>1</v>
      </c>
      <c r="AF32" s="125">
        <f t="shared" si="5"/>
        <v>1</v>
      </c>
      <c r="AG32" s="105">
        <f t="shared" si="6"/>
        <v>2</v>
      </c>
    </row>
    <row r="33" spans="1:33" ht="16.5" thickBot="1" x14ac:dyDescent="0.3">
      <c r="A33" s="104">
        <v>29</v>
      </c>
      <c r="B33" s="129" t="s">
        <v>263</v>
      </c>
      <c r="C33" s="130" t="s">
        <v>299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06">
        <f t="shared" si="0"/>
        <v>0</v>
      </c>
      <c r="X33" s="108">
        <f t="shared" si="1"/>
        <v>0</v>
      </c>
      <c r="Y33" s="108">
        <f t="shared" si="2"/>
        <v>0</v>
      </c>
      <c r="Z33" s="108" t="str">
        <f t="shared" si="3"/>
        <v>Felicitaciones por el buen rendimiento Académico</v>
      </c>
      <c r="AA33" s="105">
        <f t="shared" si="4"/>
        <v>0</v>
      </c>
      <c r="AF33" s="125">
        <f t="shared" si="5"/>
        <v>1</v>
      </c>
      <c r="AG33" s="105">
        <f t="shared" si="6"/>
        <v>0</v>
      </c>
    </row>
    <row r="34" spans="1:33" ht="16.5" thickBot="1" x14ac:dyDescent="0.3">
      <c r="A34" s="104">
        <v>30</v>
      </c>
      <c r="B34" s="129" t="s">
        <v>264</v>
      </c>
      <c r="C34" s="130" t="s">
        <v>300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06">
        <f t="shared" si="0"/>
        <v>0</v>
      </c>
      <c r="X34" s="108">
        <f t="shared" si="1"/>
        <v>0</v>
      </c>
      <c r="Y34" s="108">
        <f t="shared" si="2"/>
        <v>0</v>
      </c>
      <c r="Z34" s="108" t="str">
        <f t="shared" si="3"/>
        <v>Felicitaciones por el buen rendimiento Académico</v>
      </c>
      <c r="AA34" s="105">
        <f t="shared" si="4"/>
        <v>0</v>
      </c>
      <c r="AF34" s="125">
        <f t="shared" si="5"/>
        <v>1</v>
      </c>
      <c r="AG34" s="105">
        <f t="shared" si="6"/>
        <v>0</v>
      </c>
    </row>
    <row r="35" spans="1:33" ht="16.5" thickBot="1" x14ac:dyDescent="0.3">
      <c r="A35" s="104">
        <v>31</v>
      </c>
      <c r="B35" s="129" t="s">
        <v>265</v>
      </c>
      <c r="C35" s="130" t="s">
        <v>301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 t="s">
        <v>49</v>
      </c>
      <c r="O35" s="195" t="s">
        <v>49</v>
      </c>
      <c r="P35" s="195"/>
      <c r="Q35" s="195"/>
      <c r="R35" s="195"/>
      <c r="S35" s="195"/>
      <c r="T35" s="195"/>
      <c r="U35" s="195"/>
      <c r="V35" s="195" t="s">
        <v>49</v>
      </c>
      <c r="W35" s="106">
        <f t="shared" si="0"/>
        <v>3</v>
      </c>
      <c r="X35" s="108">
        <f t="shared" si="1"/>
        <v>0</v>
      </c>
      <c r="Y35" s="108">
        <f t="shared" si="2"/>
        <v>1</v>
      </c>
      <c r="Z35" s="108" t="str">
        <f t="shared" si="3"/>
        <v>Pasas con logros Pendientes</v>
      </c>
      <c r="AA35" s="105">
        <f t="shared" si="4"/>
        <v>1</v>
      </c>
      <c r="AF35" s="125">
        <f t="shared" si="5"/>
        <v>1</v>
      </c>
      <c r="AG35" s="105">
        <f t="shared" si="6"/>
        <v>3</v>
      </c>
    </row>
    <row r="36" spans="1:33" ht="16.5" thickBot="1" x14ac:dyDescent="0.3">
      <c r="A36" s="104">
        <v>32</v>
      </c>
      <c r="B36" s="129" t="s">
        <v>266</v>
      </c>
      <c r="C36" s="130" t="s">
        <v>302</v>
      </c>
      <c r="D36" s="195"/>
      <c r="E36" s="195"/>
      <c r="F36" s="195"/>
      <c r="G36" s="195"/>
      <c r="H36" s="195"/>
      <c r="I36" s="195"/>
      <c r="J36" s="195" t="s">
        <v>49</v>
      </c>
      <c r="K36" s="195" t="s">
        <v>49</v>
      </c>
      <c r="L36" s="195"/>
      <c r="M36" s="195" t="s">
        <v>49</v>
      </c>
      <c r="N36" s="195" t="s">
        <v>49</v>
      </c>
      <c r="O36" s="195" t="s">
        <v>49</v>
      </c>
      <c r="P36" s="195"/>
      <c r="Q36" s="195"/>
      <c r="R36" s="195"/>
      <c r="S36" s="195"/>
      <c r="T36" s="195"/>
      <c r="U36" s="195"/>
      <c r="V36" s="195" t="s">
        <v>49</v>
      </c>
      <c r="W36" s="106">
        <f t="shared" si="0"/>
        <v>6</v>
      </c>
      <c r="X36" s="108">
        <f t="shared" si="1"/>
        <v>0</v>
      </c>
      <c r="Y36" s="108">
        <f t="shared" si="2"/>
        <v>3</v>
      </c>
      <c r="Z36" s="108" t="str">
        <f t="shared" si="3"/>
        <v>Tu año esta en riesgo de perderse</v>
      </c>
      <c r="AA36" s="105">
        <f t="shared" si="4"/>
        <v>3</v>
      </c>
      <c r="AE36" s="105">
        <v>45</v>
      </c>
      <c r="AF36" s="125">
        <f t="shared" si="5"/>
        <v>1</v>
      </c>
      <c r="AG36" s="105">
        <f t="shared" si="6"/>
        <v>6</v>
      </c>
    </row>
    <row r="37" spans="1:33" ht="16.5" thickBot="1" x14ac:dyDescent="0.3">
      <c r="A37" s="104">
        <v>33</v>
      </c>
      <c r="B37" s="129" t="s">
        <v>267</v>
      </c>
      <c r="C37" s="130" t="s">
        <v>303</v>
      </c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06">
        <f t="shared" si="0"/>
        <v>0</v>
      </c>
      <c r="X37" s="108">
        <f t="shared" si="1"/>
        <v>0</v>
      </c>
      <c r="Y37" s="108">
        <f t="shared" si="2"/>
        <v>0</v>
      </c>
      <c r="Z37" s="108" t="str">
        <f t="shared" si="3"/>
        <v>Felicitaciones por el buen rendimiento Académico</v>
      </c>
      <c r="AA37" s="105">
        <f t="shared" si="4"/>
        <v>0</v>
      </c>
      <c r="AE37" s="105">
        <v>18</v>
      </c>
      <c r="AF37" s="125">
        <f t="shared" si="5"/>
        <v>1</v>
      </c>
      <c r="AG37" s="105">
        <f t="shared" si="6"/>
        <v>0</v>
      </c>
    </row>
    <row r="38" spans="1:33" ht="16.5" thickBot="1" x14ac:dyDescent="0.3">
      <c r="A38" s="104">
        <v>34</v>
      </c>
      <c r="B38" s="129" t="s">
        <v>268</v>
      </c>
      <c r="C38" s="130" t="s">
        <v>304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06">
        <f t="shared" si="0"/>
        <v>0</v>
      </c>
      <c r="X38" s="108">
        <f t="shared" si="1"/>
        <v>0</v>
      </c>
      <c r="Y38" s="108">
        <f t="shared" si="2"/>
        <v>0</v>
      </c>
      <c r="Z38" s="108" t="str">
        <f t="shared" si="3"/>
        <v>Felicitaciones por el buen rendimiento Académico</v>
      </c>
      <c r="AA38" s="105">
        <f t="shared" si="4"/>
        <v>0</v>
      </c>
      <c r="AE38" s="105">
        <f>AE36-AE37</f>
        <v>27</v>
      </c>
      <c r="AF38" s="125">
        <f t="shared" si="5"/>
        <v>1</v>
      </c>
      <c r="AG38" s="105">
        <f t="shared" si="6"/>
        <v>0</v>
      </c>
    </row>
    <row r="39" spans="1:33" ht="16.5" thickBot="1" x14ac:dyDescent="0.3">
      <c r="A39" s="104">
        <v>35</v>
      </c>
      <c r="B39" s="129" t="s">
        <v>269</v>
      </c>
      <c r="C39" s="130" t="s">
        <v>305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 t="s">
        <v>49</v>
      </c>
      <c r="N39" s="195" t="s">
        <v>49</v>
      </c>
      <c r="O39" s="195" t="s">
        <v>49</v>
      </c>
      <c r="P39" s="195"/>
      <c r="Q39" s="195"/>
      <c r="R39" s="195"/>
      <c r="S39" s="195"/>
      <c r="T39" s="195"/>
      <c r="U39" s="195"/>
      <c r="V39" s="195" t="s">
        <v>49</v>
      </c>
      <c r="W39" s="106">
        <f t="shared" si="0"/>
        <v>4</v>
      </c>
      <c r="X39" s="108">
        <f t="shared" si="1"/>
        <v>0</v>
      </c>
      <c r="Y39" s="108">
        <f t="shared" si="2"/>
        <v>1</v>
      </c>
      <c r="Z39" s="108" t="str">
        <f t="shared" si="3"/>
        <v>Pasas con logros Pendientes</v>
      </c>
      <c r="AA39" s="105">
        <f t="shared" si="4"/>
        <v>1</v>
      </c>
      <c r="AF39" s="125">
        <f t="shared" si="5"/>
        <v>1</v>
      </c>
      <c r="AG39" s="105">
        <f t="shared" si="6"/>
        <v>4</v>
      </c>
    </row>
    <row r="40" spans="1:33" ht="16.5" thickBot="1" x14ac:dyDescent="0.3">
      <c r="A40" s="104">
        <v>36</v>
      </c>
      <c r="B40" s="129" t="s">
        <v>270</v>
      </c>
      <c r="C40" s="130" t="s">
        <v>306</v>
      </c>
      <c r="D40" s="195"/>
      <c r="E40" s="195"/>
      <c r="F40" s="195"/>
      <c r="G40" s="195"/>
      <c r="H40" s="195"/>
      <c r="I40" s="195"/>
      <c r="J40" s="195" t="s">
        <v>49</v>
      </c>
      <c r="K40" s="195"/>
      <c r="L40" s="195"/>
      <c r="M40" s="195"/>
      <c r="N40" s="195"/>
      <c r="O40" s="195" t="s">
        <v>49</v>
      </c>
      <c r="P40" s="195"/>
      <c r="Q40" s="195"/>
      <c r="R40" s="195"/>
      <c r="S40" s="195"/>
      <c r="T40" s="195"/>
      <c r="U40" s="195"/>
      <c r="V40" s="195"/>
      <c r="W40" s="106">
        <f t="shared" si="0"/>
        <v>2</v>
      </c>
      <c r="X40" s="108">
        <f t="shared" si="1"/>
        <v>0</v>
      </c>
      <c r="Y40" s="108">
        <f t="shared" si="2"/>
        <v>1</v>
      </c>
      <c r="Z40" s="108" t="str">
        <f t="shared" si="3"/>
        <v>Pasas con logros Pendientes</v>
      </c>
      <c r="AA40" s="105">
        <f t="shared" si="4"/>
        <v>1</v>
      </c>
      <c r="AF40" s="125">
        <f t="shared" si="5"/>
        <v>1</v>
      </c>
      <c r="AG40" s="105">
        <f t="shared" si="6"/>
        <v>2</v>
      </c>
    </row>
    <row r="41" spans="1:33" ht="16.5" thickBot="1" x14ac:dyDescent="0.3">
      <c r="A41" s="104">
        <v>37</v>
      </c>
      <c r="B41" s="129" t="s">
        <v>271</v>
      </c>
      <c r="C41" s="130" t="s">
        <v>307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06">
        <f t="shared" si="0"/>
        <v>0</v>
      </c>
      <c r="X41" s="108">
        <f t="shared" si="1"/>
        <v>0</v>
      </c>
      <c r="Y41" s="108">
        <f t="shared" si="2"/>
        <v>0</v>
      </c>
      <c r="Z41" s="108" t="str">
        <f t="shared" si="3"/>
        <v>Felicitaciones por el buen rendimiento Académico</v>
      </c>
      <c r="AA41" s="105">
        <f t="shared" si="4"/>
        <v>0</v>
      </c>
      <c r="AF41" s="125">
        <f t="shared" si="5"/>
        <v>1</v>
      </c>
      <c r="AG41" s="105">
        <f t="shared" si="6"/>
        <v>0</v>
      </c>
    </row>
    <row r="42" spans="1:33" ht="16.5" thickBot="1" x14ac:dyDescent="0.3">
      <c r="A42" s="104">
        <v>38</v>
      </c>
      <c r="B42" s="129" t="s">
        <v>272</v>
      </c>
      <c r="C42" s="130" t="s">
        <v>308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95" t="s">
        <v>49</v>
      </c>
      <c r="N42" s="195" t="s">
        <v>49</v>
      </c>
      <c r="O42" s="195"/>
      <c r="P42" s="195"/>
      <c r="Q42" s="195"/>
      <c r="R42" s="195"/>
      <c r="S42" s="195"/>
      <c r="T42" s="195"/>
      <c r="U42" s="195"/>
      <c r="V42" s="195"/>
      <c r="W42" s="106">
        <f t="shared" si="0"/>
        <v>2</v>
      </c>
      <c r="X42" s="108">
        <f t="shared" si="1"/>
        <v>0</v>
      </c>
      <c r="Y42" s="108">
        <f t="shared" si="2"/>
        <v>0</v>
      </c>
      <c r="Z42" s="108" t="str">
        <f t="shared" si="3"/>
        <v>Felicitaciones por el buen rendimiento Académico</v>
      </c>
      <c r="AA42" s="105">
        <f t="shared" si="4"/>
        <v>0</v>
      </c>
      <c r="AF42" s="125">
        <f t="shared" si="5"/>
        <v>1</v>
      </c>
      <c r="AG42" s="105">
        <f t="shared" si="6"/>
        <v>2</v>
      </c>
    </row>
    <row r="43" spans="1:33" ht="16.5" thickBot="1" x14ac:dyDescent="0.3">
      <c r="A43" s="104">
        <v>39</v>
      </c>
      <c r="B43" s="129" t="s">
        <v>273</v>
      </c>
      <c r="C43" s="132" t="s">
        <v>309</v>
      </c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06">
        <f t="shared" si="0"/>
        <v>0</v>
      </c>
      <c r="X43" s="108">
        <f t="shared" si="1"/>
        <v>0</v>
      </c>
      <c r="Y43" s="108">
        <f t="shared" si="2"/>
        <v>0</v>
      </c>
      <c r="Z43" s="108" t="str">
        <f t="shared" si="3"/>
        <v>Felicitaciones por el buen rendimiento Académico</v>
      </c>
      <c r="AA43" s="105">
        <f t="shared" si="4"/>
        <v>0</v>
      </c>
      <c r="AF43" s="125">
        <f t="shared" si="5"/>
        <v>1</v>
      </c>
      <c r="AG43" s="105">
        <f t="shared" si="6"/>
        <v>0</v>
      </c>
    </row>
    <row r="44" spans="1:33" ht="15.75" x14ac:dyDescent="0.25">
      <c r="A44" s="76"/>
      <c r="D44" s="198">
        <f t="shared" ref="D44:V44" si="7">COUNTIF(D5:D43,"X")</f>
        <v>0</v>
      </c>
      <c r="E44" s="198">
        <f t="shared" si="7"/>
        <v>0</v>
      </c>
      <c r="F44" s="198">
        <f t="shared" si="7"/>
        <v>0</v>
      </c>
      <c r="G44" s="198">
        <f t="shared" si="7"/>
        <v>0</v>
      </c>
      <c r="H44" s="198">
        <f t="shared" si="7"/>
        <v>0</v>
      </c>
      <c r="I44" s="198">
        <f t="shared" si="7"/>
        <v>0</v>
      </c>
      <c r="J44" s="198">
        <f t="shared" si="7"/>
        <v>4</v>
      </c>
      <c r="K44" s="198">
        <f t="shared" si="7"/>
        <v>3</v>
      </c>
      <c r="L44" s="198">
        <f t="shared" si="7"/>
        <v>0</v>
      </c>
      <c r="M44" s="198">
        <f t="shared" si="7"/>
        <v>12</v>
      </c>
      <c r="N44" s="198">
        <f t="shared" si="7"/>
        <v>8</v>
      </c>
      <c r="O44" s="198">
        <f t="shared" si="7"/>
        <v>15</v>
      </c>
      <c r="P44" s="198">
        <f t="shared" si="7"/>
        <v>0</v>
      </c>
      <c r="Q44" s="198">
        <f t="shared" si="7"/>
        <v>0</v>
      </c>
      <c r="R44" s="198">
        <f t="shared" si="7"/>
        <v>0</v>
      </c>
      <c r="S44" s="198">
        <f t="shared" si="7"/>
        <v>0</v>
      </c>
      <c r="T44" s="198">
        <f t="shared" si="7"/>
        <v>0</v>
      </c>
      <c r="U44" s="198">
        <f t="shared" si="7"/>
        <v>0</v>
      </c>
      <c r="V44" s="198">
        <f t="shared" si="7"/>
        <v>10</v>
      </c>
    </row>
    <row r="45" spans="1:33" ht="15.75" x14ac:dyDescent="0.25">
      <c r="A45" s="76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</row>
    <row r="46" spans="1:33" ht="15.75" x14ac:dyDescent="0.25">
      <c r="A46" s="76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</row>
    <row r="47" spans="1:33" ht="15.75" x14ac:dyDescent="0.25">
      <c r="A47" s="76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</row>
    <row r="48" spans="1:33" ht="15.75" x14ac:dyDescent="0.25">
      <c r="A48" s="76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</row>
    <row r="49" spans="1:30" ht="15.75" x14ac:dyDescent="0.25">
      <c r="A49" s="76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</row>
    <row r="50" spans="1:30" ht="15.75" x14ac:dyDescent="0.25">
      <c r="A50" s="76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</row>
    <row r="51" spans="1:30" x14ac:dyDescent="0.25">
      <c r="A51" s="76"/>
    </row>
    <row r="52" spans="1:30" x14ac:dyDescent="0.25">
      <c r="A52" s="76"/>
    </row>
    <row r="53" spans="1:30" x14ac:dyDescent="0.25">
      <c r="A53" s="76"/>
    </row>
    <row r="54" spans="1:30" x14ac:dyDescent="0.25">
      <c r="A54" s="76"/>
    </row>
    <row r="55" spans="1:30" x14ac:dyDescent="0.25">
      <c r="A55" s="76"/>
    </row>
    <row r="56" spans="1:30" x14ac:dyDescent="0.25">
      <c r="A56" s="76"/>
    </row>
    <row r="57" spans="1:30" x14ac:dyDescent="0.25">
      <c r="A57" s="76"/>
      <c r="AA57" s="133" t="s">
        <v>232</v>
      </c>
      <c r="AB57" s="133"/>
      <c r="AC57" s="133" t="s">
        <v>233</v>
      </c>
      <c r="AD57" s="133" t="s">
        <v>47</v>
      </c>
    </row>
    <row r="58" spans="1:30" x14ac:dyDescent="0.25">
      <c r="A58" s="76"/>
      <c r="AA58" s="109" t="s">
        <v>237</v>
      </c>
      <c r="AB58" s="109"/>
      <c r="AC58" s="110">
        <f>COUNTIF(Z5:Z43,"Felicitaciones por el buen rendimiento Académico")+1</f>
        <v>27</v>
      </c>
      <c r="AD58" s="111">
        <f>AC58/$AC$61</f>
        <v>0.72972972972972971</v>
      </c>
    </row>
    <row r="59" spans="1:30" x14ac:dyDescent="0.25">
      <c r="A59" s="76"/>
      <c r="AA59" s="109" t="s">
        <v>231</v>
      </c>
      <c r="AB59" s="109"/>
      <c r="AC59" s="110">
        <f>COUNTIF($Z$5:$Z$43,"Pasas con logros Pendientes")</f>
        <v>8</v>
      </c>
      <c r="AD59" s="111">
        <f>AC59/$AC$61</f>
        <v>0.21621621621621623</v>
      </c>
    </row>
    <row r="60" spans="1:30" x14ac:dyDescent="0.25">
      <c r="A60" s="76"/>
      <c r="AA60" s="134" t="s">
        <v>234</v>
      </c>
      <c r="AB60" s="134"/>
      <c r="AC60" s="110">
        <f>COUNTIF($Z$5:$Z$43,"Tu año esta en riesgo de perderse")</f>
        <v>2</v>
      </c>
      <c r="AD60" s="111">
        <f>AC60/$AC$61</f>
        <v>5.4054054054054057E-2</v>
      </c>
    </row>
    <row r="61" spans="1:30" ht="20.25" x14ac:dyDescent="0.3">
      <c r="A61" s="83"/>
      <c r="AA61" s="135" t="s">
        <v>235</v>
      </c>
      <c r="AB61" s="135"/>
      <c r="AC61" s="135">
        <v>37</v>
      </c>
      <c r="AD61" s="136">
        <v>1</v>
      </c>
    </row>
    <row r="62" spans="1:30" ht="15.75" thickBot="1" x14ac:dyDescent="0.3">
      <c r="A62" s="85"/>
    </row>
  </sheetData>
  <sheetProtection algorithmName="SHA-512" hashValue="Cc/4mY+cKpCD6oXPkf0HBC7cQ5vt8yHBsUK20v+EheI2b1urYi4QOvHuSzXyb5YWDNIsr4fqZKv4weKXbjSPcQ==" saltValue="En7mjS0eXTt8GnhI6yuWxQ==" spinCount="100000" sheet="1" objects="1" scenarios="1"/>
  <mergeCells count="6">
    <mergeCell ref="A1:B1"/>
    <mergeCell ref="E1:V2"/>
    <mergeCell ref="W1:W4"/>
    <mergeCell ref="A2:B2"/>
    <mergeCell ref="A3:A4"/>
    <mergeCell ref="B3:B4"/>
  </mergeCells>
  <conditionalFormatting sqref="W19:W20">
    <cfRule type="cellIs" dxfId="7" priority="25" operator="equal">
      <formula>$J$6</formula>
    </cfRule>
  </conditionalFormatting>
  <conditionalFormatting sqref="Z5:Z43">
    <cfRule type="cellIs" dxfId="6" priority="1" stopIfTrue="1" operator="equal">
      <formula>"Felicitaciones por el buen rendimiento Académico"</formula>
    </cfRule>
    <cfRule type="notContainsText" dxfId="5" priority="2" stopIfTrue="1" operator="notContains" text="Felicitaciones…pasas a noveno">
      <formula>ISERROR(SEARCH("Felicitaciones…pasas a noveno",Z5))</formula>
    </cfRule>
    <cfRule type="containsText" dxfId="4" priority="3" stopIfTrue="1" operator="containsText" text="Tu año esta en riesgo de perderse">
      <formula>NOT(ISERROR(SEARCH("Tu año esta en riesgo de perderse",Z5)))</formula>
    </cfRule>
    <cfRule type="containsText" dxfId="3" priority="4" stopIfTrue="1" operator="containsText" text="Felicitaciones…pasas a noveno">
      <formula>NOT(ISERROR(SEARCH("Felicitaciones…pasas a noveno",Z5)))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8"/>
  <sheetViews>
    <sheetView showGridLines="0" tabSelected="1" zoomScale="75" zoomScaleNormal="75" workbookViewId="0">
      <selection activeCell="C5" sqref="C5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33" customWidth="1"/>
    <col min="4" max="4" width="20.28515625" customWidth="1"/>
    <col min="5" max="5" width="4.5703125" customWidth="1"/>
    <col min="6" max="6" width="4" customWidth="1"/>
    <col min="7" max="7" width="82.85546875" customWidth="1"/>
    <col min="8" max="8" width="3.5703125" customWidth="1"/>
  </cols>
  <sheetData>
    <row r="1" spans="2:12" ht="6" customHeight="1" thickBot="1" x14ac:dyDescent="0.3"/>
    <row r="2" spans="2:12" ht="18.75" x14ac:dyDescent="0.3">
      <c r="B2" s="27"/>
      <c r="C2" s="65" t="s">
        <v>318</v>
      </c>
      <c r="D2" s="28"/>
    </row>
    <row r="3" spans="2:12" ht="18.75" x14ac:dyDescent="0.3">
      <c r="B3" s="173" t="s">
        <v>52</v>
      </c>
      <c r="C3" s="174"/>
      <c r="D3" s="175"/>
    </row>
    <row r="4" spans="2:12" ht="18.75" thickBot="1" x14ac:dyDescent="0.3">
      <c r="B4" s="176" t="s">
        <v>325</v>
      </c>
      <c r="C4" s="177"/>
      <c r="D4" s="178"/>
      <c r="L4" s="59"/>
    </row>
    <row r="5" spans="2:12" ht="15.75" thickBot="1" x14ac:dyDescent="0.3">
      <c r="B5" s="29" t="s">
        <v>53</v>
      </c>
      <c r="C5" s="37"/>
      <c r="D5" s="30"/>
    </row>
    <row r="6" spans="2:12" x14ac:dyDescent="0.25">
      <c r="B6" s="31" t="s">
        <v>51</v>
      </c>
      <c r="C6" s="171" t="str">
        <f>IF(ISBLANK(C5),"",IF(ISERROR(VLOOKUP(C5,BDNOTAS,3,FALSE)),"No existe",VLOOKUP(C5,BDNOTAS,3,FALSE)))</f>
        <v/>
      </c>
      <c r="D6" s="172"/>
    </row>
    <row r="7" spans="2:12" ht="15.75" thickBot="1" x14ac:dyDescent="0.3">
      <c r="B7" s="32"/>
      <c r="C7" s="33"/>
      <c r="D7" s="34"/>
    </row>
    <row r="8" spans="2:12" ht="19.5" thickBot="1" x14ac:dyDescent="0.35">
      <c r="B8" s="179" t="s">
        <v>50</v>
      </c>
      <c r="C8" s="180"/>
      <c r="D8" s="120" t="s">
        <v>317</v>
      </c>
    </row>
    <row r="9" spans="2:12" ht="15.75" customHeight="1" thickBot="1" x14ac:dyDescent="0.3">
      <c r="B9" s="161" t="s">
        <v>127</v>
      </c>
      <c r="C9" s="162"/>
      <c r="D9" s="60" t="str">
        <f>IF(ISERROR(VLOOKUP($C$5,BDNOTAS,4,FALSE)),"",VLOOKUP($C$5,BDNOTAS,4,FALSE))</f>
        <v/>
      </c>
    </row>
    <row r="10" spans="2:12" ht="15.75" customHeight="1" thickBot="1" x14ac:dyDescent="0.3">
      <c r="B10" s="157" t="s">
        <v>3</v>
      </c>
      <c r="C10" s="158"/>
      <c r="D10" s="61" t="str">
        <f>IF(ISERROR(VLOOKUP($C$5,BDNOTAS,5,FALSE)),"",VLOOKUP($C$5,BDNOTAS,5,FALSE))</f>
        <v/>
      </c>
      <c r="E10" s="26"/>
    </row>
    <row r="11" spans="2:12" ht="15" customHeight="1" thickBot="1" x14ac:dyDescent="0.3">
      <c r="B11" s="159" t="s">
        <v>4</v>
      </c>
      <c r="C11" s="160"/>
      <c r="D11" s="61" t="str">
        <f>IF(ISERROR(VLOOKUP($C$5,BDNOTAS,6,FALSE)),"",VLOOKUP($C$5,BDNOTAS,6,FALSE))</f>
        <v/>
      </c>
      <c r="G11" s="121" t="str">
        <f>IF(ISBLANK(C5),"",IF(D28&gt;0,"Entregar Actividades Pendientes","Sigue manteniendo tu buen rendimiento Académico"))</f>
        <v/>
      </c>
    </row>
    <row r="12" spans="2:12" ht="21.75" customHeight="1" thickBot="1" x14ac:dyDescent="0.3">
      <c r="B12" s="161" t="s">
        <v>5</v>
      </c>
      <c r="C12" s="162"/>
      <c r="D12" s="60" t="str">
        <f>IF(ISERROR(VLOOKUP($C$5,BDNOTAS,7,FALSE)),"",VLOOKUP($C$5,BDNOTAS,7,FALSE))</f>
        <v/>
      </c>
    </row>
    <row r="13" spans="2:12" ht="21.75" customHeight="1" thickBot="1" x14ac:dyDescent="0.3">
      <c r="B13" s="163" t="s">
        <v>227</v>
      </c>
      <c r="C13" s="164"/>
      <c r="D13" s="102" t="str">
        <f>IF(ISERROR(VLOOKUP($C$5,BDNOTAS,8,FALSE)),"",VLOOKUP($C$5,BDNOTAS,8,FALSE))</f>
        <v/>
      </c>
    </row>
    <row r="14" spans="2:12" ht="15.75" customHeight="1" thickBot="1" x14ac:dyDescent="0.3">
      <c r="B14" s="163" t="s">
        <v>226</v>
      </c>
      <c r="C14" s="164"/>
      <c r="D14" s="102" t="str">
        <f>IF(ISERROR(VLOOKUP($C$5,BDNOTAS,9,FALSE)),"",VLOOKUP($C$5,BDNOTAS,9,FALSE))</f>
        <v/>
      </c>
    </row>
    <row r="15" spans="2:12" ht="16.5" customHeight="1" thickBot="1" x14ac:dyDescent="0.3">
      <c r="B15" s="161" t="s">
        <v>6</v>
      </c>
      <c r="C15" s="162"/>
      <c r="D15" s="60" t="str">
        <f>IF(ISERROR(VLOOKUP($C$5,BDNOTAS,10,FALSE)),"",VLOOKUP($C$5,BDNOTAS,10,FALSE))</f>
        <v/>
      </c>
    </row>
    <row r="16" spans="2:12" ht="15.75" customHeight="1" thickBot="1" x14ac:dyDescent="0.3">
      <c r="B16" s="161" t="s">
        <v>8</v>
      </c>
      <c r="C16" s="162"/>
      <c r="D16" s="60" t="str">
        <f>IF(ISERROR(VLOOKUP($C$5,BDNOTAS,11,FALSE)),"",VLOOKUP($C$5,BDNOTAS,11,FALSE))</f>
        <v/>
      </c>
    </row>
    <row r="17" spans="2:4" ht="15.75" customHeight="1" thickBot="1" x14ac:dyDescent="0.3">
      <c r="B17" s="153" t="s">
        <v>129</v>
      </c>
      <c r="C17" s="154"/>
      <c r="D17" s="60" t="str">
        <f>IF(ISERROR(VLOOKUP($C$5,BDNOTAS,12,FALSE)),"",VLOOKUP($C$5,BDNOTAS,12,FALSE))</f>
        <v/>
      </c>
    </row>
    <row r="18" spans="2:4" ht="15.75" customHeight="1" thickBot="1" x14ac:dyDescent="0.3">
      <c r="B18" s="155" t="s">
        <v>10</v>
      </c>
      <c r="C18" s="156"/>
      <c r="D18" s="62" t="str">
        <f>IF(ISERROR(VLOOKUP($C$5,BDNOTAS,13,FALSE)),"",VLOOKUP($C$5,BDNOTAS,13,FALSE))</f>
        <v/>
      </c>
    </row>
    <row r="19" spans="2:4" ht="15.75" customHeight="1" thickBot="1" x14ac:dyDescent="0.3">
      <c r="B19" s="155" t="s">
        <v>11</v>
      </c>
      <c r="C19" s="156"/>
      <c r="D19" s="62" t="str">
        <f>IF(ISERROR(VLOOKUP($C$5,BDNOTAS,14,FALSE)),"",VLOOKUP($C$5,BDNOTAS,14,FALSE))</f>
        <v/>
      </c>
    </row>
    <row r="20" spans="2:4" ht="15.75" thickBot="1" x14ac:dyDescent="0.3">
      <c r="B20" s="155" t="s">
        <v>12</v>
      </c>
      <c r="C20" s="156"/>
      <c r="D20" s="62" t="str">
        <f>IF(ISERROR(VLOOKUP($C$5,BDNOTAS,15,FALSE)),"",VLOOKUP($C$5,BDNOTAS,15,FALSE))</f>
        <v/>
      </c>
    </row>
    <row r="21" spans="2:4" ht="15.75" customHeight="1" thickBot="1" x14ac:dyDescent="0.3">
      <c r="B21" s="153" t="s">
        <v>131</v>
      </c>
      <c r="C21" s="154"/>
      <c r="D21" s="60" t="str">
        <f>IF(ISERROR(VLOOKUP($C$5,BDNOTAS,16,FALSE)),"",VLOOKUP($C$5,BDNOTAS,16,FALSE))</f>
        <v/>
      </c>
    </row>
    <row r="22" spans="2:4" ht="15.75" thickBot="1" x14ac:dyDescent="0.3">
      <c r="B22" s="169" t="s">
        <v>13</v>
      </c>
      <c r="C22" s="170"/>
      <c r="D22" s="63" t="str">
        <f>IF(ISERROR(VLOOKUP($C$5,BDNOTAS,17,FALSE)),"",VLOOKUP($C$5,BDNOTAS,17,FALSE))</f>
        <v/>
      </c>
    </row>
    <row r="23" spans="2:4" ht="15.75" thickBot="1" x14ac:dyDescent="0.3">
      <c r="B23" s="169" t="s">
        <v>132</v>
      </c>
      <c r="C23" s="170"/>
      <c r="D23" s="63" t="str">
        <f>IF(ISERROR(VLOOKUP($C$5,BDNOTAS,18,FALSE)),"",VLOOKUP($C$5,BDNOTAS,18,FALSE))</f>
        <v/>
      </c>
    </row>
    <row r="24" spans="2:4" ht="15.75" customHeight="1" thickBot="1" x14ac:dyDescent="0.3">
      <c r="B24" s="153" t="s">
        <v>130</v>
      </c>
      <c r="C24" s="154"/>
      <c r="D24" s="60" t="str">
        <f>IF(ISERROR(VLOOKUP($C$5,BDNOTAS,19,FALSE)),"",VLOOKUP($C$5,BDNOTAS,19,FALSE))</f>
        <v/>
      </c>
    </row>
    <row r="25" spans="2:4" ht="15.75" thickBot="1" x14ac:dyDescent="0.3">
      <c r="B25" s="165" t="s">
        <v>15</v>
      </c>
      <c r="C25" s="166"/>
      <c r="D25" s="64" t="str">
        <f>IF(ISERROR(VLOOKUP($C$5,BDNOTAS,20,FALSE)),"",VLOOKUP($C$5,BDNOTAS,20,FALSE))</f>
        <v/>
      </c>
    </row>
    <row r="26" spans="2:4" ht="15.75" thickBot="1" x14ac:dyDescent="0.3">
      <c r="B26" s="167" t="s">
        <v>16</v>
      </c>
      <c r="C26" s="168"/>
      <c r="D26" s="64" t="str">
        <f>IF(ISERROR(VLOOKUP($C$5,BDNOTAS,21,FALSE)),"",VLOOKUP($C$5,BDNOTAS,21,FALSE))</f>
        <v/>
      </c>
    </row>
    <row r="27" spans="2:4" ht="15.75" thickBot="1" x14ac:dyDescent="0.3">
      <c r="B27" s="153" t="s">
        <v>135</v>
      </c>
      <c r="C27" s="154"/>
      <c r="D27" s="60" t="str">
        <f>IF(ISERROR(VLOOKUP($C$5,BDNOTAS,22,FALSE)),"",VLOOKUP($C$5,BDNOTAS,22,FALSE))</f>
        <v/>
      </c>
    </row>
    <row r="28" spans="2:4" ht="19.5" thickBot="1" x14ac:dyDescent="0.35">
      <c r="B28" s="122" t="s">
        <v>54</v>
      </c>
      <c r="C28" s="123"/>
      <c r="D28" s="124">
        <f>COUNTIF(D10:D26,"x")</f>
        <v>0</v>
      </c>
    </row>
  </sheetData>
  <sheetProtection algorithmName="SHA-512" hashValue="Kzsojv2/TjeJ9jouJ975dxRtKwfK/2/Rn1KggaTxI3+PrunNV0W+nNNhbU2+zR1+ViWerV5yeZv42//ttu+3tw==" saltValue="erBkGCwmhP8Xr0TlmJ/kUg==" spinCount="100000" sheet="1" objects="1" scenarios="1"/>
  <mergeCells count="23">
    <mergeCell ref="B22:C22"/>
    <mergeCell ref="B23:C23"/>
    <mergeCell ref="C6:D6"/>
    <mergeCell ref="B3:D3"/>
    <mergeCell ref="B4:D4"/>
    <mergeCell ref="B8:C8"/>
    <mergeCell ref="B9:C9"/>
    <mergeCell ref="B27:C27"/>
    <mergeCell ref="B18:C18"/>
    <mergeCell ref="B10:C10"/>
    <mergeCell ref="B11:C11"/>
    <mergeCell ref="B12:C12"/>
    <mergeCell ref="B14:C14"/>
    <mergeCell ref="B17:C17"/>
    <mergeCell ref="B15:C15"/>
    <mergeCell ref="B16:C16"/>
    <mergeCell ref="B13:C13"/>
    <mergeCell ref="B24:C24"/>
    <mergeCell ref="B25:C25"/>
    <mergeCell ref="B26:C26"/>
    <mergeCell ref="B19:C19"/>
    <mergeCell ref="B20:C20"/>
    <mergeCell ref="B21:C21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6"/>
  <sheetViews>
    <sheetView workbookViewId="0">
      <selection activeCell="B1" sqref="B1:D6"/>
    </sheetView>
  </sheetViews>
  <sheetFormatPr baseColWidth="10" defaultRowHeight="15" x14ac:dyDescent="0.25"/>
  <cols>
    <col min="2" max="2" width="25.28515625" bestFit="1" customWidth="1"/>
  </cols>
  <sheetData>
    <row r="1" spans="2:4" x14ac:dyDescent="0.25">
      <c r="B1" s="119" t="s">
        <v>315</v>
      </c>
      <c r="C1" s="119" t="s">
        <v>314</v>
      </c>
      <c r="D1" s="119" t="s">
        <v>47</v>
      </c>
    </row>
    <row r="2" spans="2:4" x14ac:dyDescent="0.25">
      <c r="B2" s="117" t="s">
        <v>310</v>
      </c>
      <c r="C2" s="117">
        <f>COUNTIF('informe PARCIAL 3 periodo'!$AF$5:$AF$43,"4")</f>
        <v>0</v>
      </c>
      <c r="D2" s="118">
        <f>C2/$C$6</f>
        <v>0</v>
      </c>
    </row>
    <row r="3" spans="2:4" x14ac:dyDescent="0.25">
      <c r="B3" s="117" t="s">
        <v>311</v>
      </c>
      <c r="C3" s="117">
        <f>COUNTIF('informe PARCIAL 3 periodo'!$AF$5:$AF$43,"3")</f>
        <v>0</v>
      </c>
      <c r="D3" s="118">
        <f t="shared" ref="D3:D5" si="0">C3/$C$6</f>
        <v>0</v>
      </c>
    </row>
    <row r="4" spans="2:4" x14ac:dyDescent="0.25">
      <c r="B4" s="117" t="s">
        <v>312</v>
      </c>
      <c r="C4" s="117">
        <f>COUNTIF('informe PARCIAL 3 periodo'!$AF$5:$AF$43,"2")</f>
        <v>0</v>
      </c>
      <c r="D4" s="118">
        <f t="shared" si="0"/>
        <v>0</v>
      </c>
    </row>
    <row r="5" spans="2:4" x14ac:dyDescent="0.25">
      <c r="B5" s="117" t="s">
        <v>313</v>
      </c>
      <c r="C5" s="117">
        <f>COUNTIF('informe PARCIAL 3 periodo'!$AF$5:$AF$43,"1")</f>
        <v>36</v>
      </c>
      <c r="D5" s="118">
        <f t="shared" si="0"/>
        <v>1</v>
      </c>
    </row>
    <row r="6" spans="2:4" x14ac:dyDescent="0.25">
      <c r="C6">
        <f>SUM(C2:C5)</f>
        <v>36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E2E7-33D9-4F1C-B981-BDD851AED67C}">
  <dimension ref="A1"/>
  <sheetViews>
    <sheetView workbookViewId="0">
      <selection activeCell="B6" sqref="B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topLeftCell="A2" zoomScale="83" zoomScaleNormal="83" workbookViewId="0">
      <pane xSplit="3" ySplit="3" topLeftCell="P6" activePane="bottomRight" state="frozenSplit"/>
      <selection activeCell="C46" sqref="C46"/>
      <selection pane="topRight" activeCell="C46" sqref="C46"/>
      <selection pane="bottomLeft" activeCell="C46" sqref="C46"/>
      <selection pane="bottomRight" activeCell="T26" sqref="T26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9.28515625" bestFit="1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3.42578125" bestFit="1" customWidth="1"/>
    <col min="17" max="17" width="18.5703125" bestFit="1" customWidth="1"/>
  </cols>
  <sheetData>
    <row r="1" spans="1:18" x14ac:dyDescent="0.25">
      <c r="A1" s="181" t="s">
        <v>17</v>
      </c>
      <c r="B1" s="182"/>
      <c r="C1" s="7" t="s">
        <v>21</v>
      </c>
      <c r="D1" s="7"/>
      <c r="E1" s="183"/>
      <c r="F1" s="183"/>
      <c r="G1" s="183"/>
      <c r="H1" s="183"/>
      <c r="I1" s="183"/>
      <c r="J1" s="183"/>
      <c r="K1" s="183"/>
      <c r="L1" s="183"/>
      <c r="M1" s="185" t="s">
        <v>20</v>
      </c>
    </row>
    <row r="2" spans="1:18" ht="15.75" thickBot="1" x14ac:dyDescent="0.3">
      <c r="A2" s="188" t="s">
        <v>18</v>
      </c>
      <c r="B2" s="189"/>
      <c r="C2" s="1" t="s">
        <v>19</v>
      </c>
      <c r="D2" s="1"/>
      <c r="E2" s="184"/>
      <c r="F2" s="184"/>
      <c r="G2" s="184"/>
      <c r="H2" s="184"/>
      <c r="I2" s="184"/>
      <c r="J2" s="184"/>
      <c r="K2" s="184"/>
      <c r="L2" s="184"/>
      <c r="M2" s="186"/>
    </row>
    <row r="3" spans="1:18" ht="94.5" customHeight="1" x14ac:dyDescent="0.25">
      <c r="A3" s="190" t="s">
        <v>0</v>
      </c>
      <c r="B3" s="192" t="s">
        <v>1</v>
      </c>
      <c r="C3" s="56" t="s">
        <v>2</v>
      </c>
      <c r="D3" s="55" t="s">
        <v>127</v>
      </c>
      <c r="E3" s="55" t="s">
        <v>5</v>
      </c>
      <c r="F3" s="55" t="s">
        <v>6</v>
      </c>
      <c r="G3" s="55" t="s">
        <v>7</v>
      </c>
      <c r="H3" s="55" t="s">
        <v>8</v>
      </c>
      <c r="I3" s="55" t="s">
        <v>9</v>
      </c>
      <c r="J3" s="55" t="s">
        <v>126</v>
      </c>
      <c r="K3" s="55" t="s">
        <v>128</v>
      </c>
      <c r="L3" s="55" t="s">
        <v>125</v>
      </c>
      <c r="M3" s="186"/>
    </row>
    <row r="4" spans="1:18" ht="15.75" thickBot="1" x14ac:dyDescent="0.3">
      <c r="A4" s="191"/>
      <c r="B4" s="193"/>
      <c r="C4" s="41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/>
      <c r="K4" s="3"/>
      <c r="L4" s="3">
        <v>1</v>
      </c>
      <c r="M4" s="187"/>
    </row>
    <row r="5" spans="1:18" ht="24" customHeight="1" thickBot="1" x14ac:dyDescent="0.3">
      <c r="A5" s="42">
        <v>1</v>
      </c>
      <c r="B5" s="43" t="s">
        <v>55</v>
      </c>
      <c r="C5" s="44" t="s">
        <v>56</v>
      </c>
      <c r="D5" s="46"/>
      <c r="E5" s="49" t="s">
        <v>49</v>
      </c>
      <c r="F5" s="49" t="s">
        <v>49</v>
      </c>
      <c r="G5" s="49" t="s">
        <v>49</v>
      </c>
      <c r="H5" s="49" t="s">
        <v>49</v>
      </c>
      <c r="I5" s="49"/>
      <c r="J5" s="49" t="s">
        <v>49</v>
      </c>
      <c r="K5" s="49" t="s">
        <v>49</v>
      </c>
      <c r="L5" s="49" t="s">
        <v>49</v>
      </c>
      <c r="M5" s="2">
        <f>COUNTIF(D5:L5,"x")</f>
        <v>7</v>
      </c>
      <c r="P5" t="s">
        <v>133</v>
      </c>
      <c r="Q5" t="s">
        <v>134</v>
      </c>
      <c r="R5" t="s">
        <v>47</v>
      </c>
    </row>
    <row r="6" spans="1:18" ht="24" customHeight="1" thickBot="1" x14ac:dyDescent="0.3">
      <c r="A6" s="42">
        <v>2</v>
      </c>
      <c r="B6" s="43" t="s">
        <v>57</v>
      </c>
      <c r="C6" s="45" t="s">
        <v>58</v>
      </c>
      <c r="D6" s="47" t="s">
        <v>49</v>
      </c>
      <c r="E6" s="50"/>
      <c r="F6" s="50" t="s">
        <v>49</v>
      </c>
      <c r="G6" s="50" t="s">
        <v>49</v>
      </c>
      <c r="H6" s="50" t="s">
        <v>49</v>
      </c>
      <c r="I6" s="50"/>
      <c r="J6" s="50" t="s">
        <v>49</v>
      </c>
      <c r="K6" s="50"/>
      <c r="L6" s="50" t="s">
        <v>49</v>
      </c>
      <c r="M6" s="2">
        <f t="shared" ref="M6:M39" si="0">COUNTIF(D6:L6,"x")</f>
        <v>6</v>
      </c>
      <c r="P6" s="57" t="s">
        <v>24</v>
      </c>
      <c r="Q6">
        <f>COUNTIF($M$5:$M$39,"0")</f>
        <v>9</v>
      </c>
      <c r="R6" s="58">
        <f>Q6/$Q$16</f>
        <v>0.25714285714285712</v>
      </c>
    </row>
    <row r="7" spans="1:18" ht="24" customHeight="1" thickBot="1" x14ac:dyDescent="0.3">
      <c r="A7" s="42">
        <v>3</v>
      </c>
      <c r="B7" s="43" t="s">
        <v>59</v>
      </c>
      <c r="C7" s="45" t="s">
        <v>60</v>
      </c>
      <c r="D7" s="47"/>
      <c r="E7" s="50"/>
      <c r="F7" s="50"/>
      <c r="G7" s="50"/>
      <c r="H7" s="50"/>
      <c r="I7" s="50"/>
      <c r="J7" s="50"/>
      <c r="K7" s="50"/>
      <c r="L7" s="50"/>
      <c r="M7" s="2">
        <f t="shared" si="0"/>
        <v>0</v>
      </c>
      <c r="P7" s="57" t="s">
        <v>25</v>
      </c>
      <c r="Q7">
        <f>COUNTIF($M$5:$M$39,"1")</f>
        <v>4</v>
      </c>
      <c r="R7" s="58">
        <f t="shared" ref="R7:R15" si="1">Q7/$Q$16</f>
        <v>0.11428571428571428</v>
      </c>
    </row>
    <row r="8" spans="1:18" ht="24" customHeight="1" thickBot="1" x14ac:dyDescent="0.3">
      <c r="A8" s="42">
        <v>4</v>
      </c>
      <c r="B8" s="43" t="s">
        <v>61</v>
      </c>
      <c r="C8" s="45" t="s">
        <v>62</v>
      </c>
      <c r="D8" s="47" t="s">
        <v>49</v>
      </c>
      <c r="E8" s="50" t="s">
        <v>49</v>
      </c>
      <c r="F8" s="50" t="s">
        <v>49</v>
      </c>
      <c r="G8" s="50" t="s">
        <v>49</v>
      </c>
      <c r="H8" s="50" t="s">
        <v>49</v>
      </c>
      <c r="I8" s="50" t="s">
        <v>49</v>
      </c>
      <c r="J8" s="50" t="s">
        <v>49</v>
      </c>
      <c r="K8" s="50" t="s">
        <v>49</v>
      </c>
      <c r="L8" s="50" t="s">
        <v>49</v>
      </c>
      <c r="M8" s="2">
        <f t="shared" si="0"/>
        <v>9</v>
      </c>
      <c r="P8" s="57" t="s">
        <v>26</v>
      </c>
      <c r="Q8">
        <f>COUNTIF($M$5:$M$39,"2")</f>
        <v>5</v>
      </c>
      <c r="R8" s="58">
        <f t="shared" si="1"/>
        <v>0.14285714285714285</v>
      </c>
    </row>
    <row r="9" spans="1:18" ht="24" customHeight="1" thickBot="1" x14ac:dyDescent="0.3">
      <c r="A9" s="42">
        <v>5</v>
      </c>
      <c r="B9" s="43" t="s">
        <v>63</v>
      </c>
      <c r="C9" s="45" t="s">
        <v>64</v>
      </c>
      <c r="D9" s="47"/>
      <c r="E9" s="50" t="s">
        <v>49</v>
      </c>
      <c r="F9" s="50"/>
      <c r="G9" s="50"/>
      <c r="H9" s="50"/>
      <c r="I9" s="50"/>
      <c r="J9" s="50"/>
      <c r="K9" s="50"/>
      <c r="L9" s="50"/>
      <c r="M9" s="2">
        <f t="shared" si="0"/>
        <v>1</v>
      </c>
      <c r="P9" s="57" t="s">
        <v>27</v>
      </c>
      <c r="Q9">
        <f>COUNTIF($M$5:$M$39,"3")</f>
        <v>0</v>
      </c>
      <c r="R9" s="58">
        <f t="shared" si="1"/>
        <v>0</v>
      </c>
    </row>
    <row r="10" spans="1:18" ht="24" customHeight="1" thickBot="1" x14ac:dyDescent="0.3">
      <c r="A10" s="42">
        <v>6</v>
      </c>
      <c r="B10" s="43" t="s">
        <v>65</v>
      </c>
      <c r="C10" s="45" t="s">
        <v>66</v>
      </c>
      <c r="D10" s="47" t="s">
        <v>49</v>
      </c>
      <c r="E10" s="50" t="s">
        <v>49</v>
      </c>
      <c r="F10" s="50"/>
      <c r="G10" s="50" t="s">
        <v>49</v>
      </c>
      <c r="H10" s="50" t="s">
        <v>49</v>
      </c>
      <c r="I10" s="50"/>
      <c r="J10" s="50"/>
      <c r="K10" s="50" t="s">
        <v>49</v>
      </c>
      <c r="L10" s="50" t="s">
        <v>49</v>
      </c>
      <c r="M10" s="2">
        <f t="shared" si="0"/>
        <v>6</v>
      </c>
      <c r="P10" s="57" t="s">
        <v>28</v>
      </c>
      <c r="Q10">
        <f>COUNTIF($M$5:$M$39,"4")</f>
        <v>2</v>
      </c>
      <c r="R10" s="58">
        <f t="shared" si="1"/>
        <v>5.7142857142857141E-2</v>
      </c>
    </row>
    <row r="11" spans="1:18" ht="24" customHeight="1" thickBot="1" x14ac:dyDescent="0.3">
      <c r="A11" s="42">
        <v>7</v>
      </c>
      <c r="B11" s="43" t="s">
        <v>67</v>
      </c>
      <c r="C11" s="45" t="s">
        <v>68</v>
      </c>
      <c r="D11" s="47"/>
      <c r="E11" s="50"/>
      <c r="F11" s="50"/>
      <c r="G11" s="50"/>
      <c r="H11" s="50"/>
      <c r="I11" s="50"/>
      <c r="J11" s="50"/>
      <c r="K11" s="50"/>
      <c r="L11" s="50"/>
      <c r="M11" s="2">
        <f t="shared" si="0"/>
        <v>0</v>
      </c>
      <c r="P11" s="57" t="s">
        <v>29</v>
      </c>
      <c r="Q11">
        <f>COUNTIF($M$5:$M$39,"5")</f>
        <v>3</v>
      </c>
      <c r="R11" s="58">
        <f t="shared" si="1"/>
        <v>8.5714285714285715E-2</v>
      </c>
    </row>
    <row r="12" spans="1:18" ht="24" customHeight="1" thickBot="1" x14ac:dyDescent="0.3">
      <c r="A12" s="42">
        <v>9</v>
      </c>
      <c r="B12" s="43" t="s">
        <v>69</v>
      </c>
      <c r="C12" s="45" t="s">
        <v>70</v>
      </c>
      <c r="D12" s="47" t="s">
        <v>49</v>
      </c>
      <c r="E12" s="50" t="s">
        <v>49</v>
      </c>
      <c r="F12" s="50"/>
      <c r="G12" s="50"/>
      <c r="H12" s="50" t="s">
        <v>49</v>
      </c>
      <c r="I12" s="50"/>
      <c r="J12" s="50"/>
      <c r="K12" s="50" t="s">
        <v>49</v>
      </c>
      <c r="L12" s="50" t="s">
        <v>49</v>
      </c>
      <c r="M12" s="2">
        <f t="shared" si="0"/>
        <v>5</v>
      </c>
      <c r="P12" s="57" t="s">
        <v>30</v>
      </c>
      <c r="Q12">
        <f>COUNTIF($M$5:$M$39,"6")</f>
        <v>4</v>
      </c>
      <c r="R12" s="58">
        <f t="shared" si="1"/>
        <v>0.11428571428571428</v>
      </c>
    </row>
    <row r="13" spans="1:18" ht="24" customHeight="1" thickBot="1" x14ac:dyDescent="0.3">
      <c r="A13" s="42">
        <v>10</v>
      </c>
      <c r="B13" s="43" t="s">
        <v>71</v>
      </c>
      <c r="C13" s="45" t="s">
        <v>72</v>
      </c>
      <c r="D13" s="47" t="s">
        <v>49</v>
      </c>
      <c r="E13" s="50" t="s">
        <v>49</v>
      </c>
      <c r="F13" s="50" t="s">
        <v>49</v>
      </c>
      <c r="G13" s="50"/>
      <c r="H13" s="50"/>
      <c r="I13" s="50"/>
      <c r="J13" s="50" t="s">
        <v>49</v>
      </c>
      <c r="K13" s="50" t="s">
        <v>49</v>
      </c>
      <c r="L13" s="50" t="s">
        <v>49</v>
      </c>
      <c r="M13" s="2">
        <f t="shared" si="0"/>
        <v>6</v>
      </c>
      <c r="P13" s="57" t="s">
        <v>31</v>
      </c>
      <c r="Q13">
        <f>COUNTIF($M$5:$M$39,"7")</f>
        <v>3</v>
      </c>
      <c r="R13" s="58">
        <f t="shared" si="1"/>
        <v>8.5714285714285715E-2</v>
      </c>
    </row>
    <row r="14" spans="1:18" ht="24" customHeight="1" thickBot="1" x14ac:dyDescent="0.3">
      <c r="A14" s="42">
        <v>11</v>
      </c>
      <c r="B14" s="43" t="s">
        <v>73</v>
      </c>
      <c r="C14" s="45" t="s">
        <v>74</v>
      </c>
      <c r="D14" s="47" t="s">
        <v>49</v>
      </c>
      <c r="E14" s="50" t="s">
        <v>49</v>
      </c>
      <c r="F14" s="50" t="s">
        <v>49</v>
      </c>
      <c r="G14" s="50" t="s">
        <v>49</v>
      </c>
      <c r="H14" s="50" t="s">
        <v>49</v>
      </c>
      <c r="I14" s="50" t="s">
        <v>49</v>
      </c>
      <c r="J14" s="50" t="s">
        <v>49</v>
      </c>
      <c r="K14" s="50" t="s">
        <v>49</v>
      </c>
      <c r="L14" s="50" t="s">
        <v>49</v>
      </c>
      <c r="M14" s="2">
        <f t="shared" si="0"/>
        <v>9</v>
      </c>
      <c r="P14" s="57" t="s">
        <v>32</v>
      </c>
      <c r="Q14">
        <f>COUNTIF($M$5:$M$39,"8")</f>
        <v>2</v>
      </c>
      <c r="R14" s="58">
        <f t="shared" si="1"/>
        <v>5.7142857142857141E-2</v>
      </c>
    </row>
    <row r="15" spans="1:18" ht="24" customHeight="1" thickBot="1" x14ac:dyDescent="0.3">
      <c r="A15" s="42">
        <v>12</v>
      </c>
      <c r="B15" s="43" t="s">
        <v>75</v>
      </c>
      <c r="C15" s="45" t="s">
        <v>76</v>
      </c>
      <c r="D15" s="47" t="s">
        <v>49</v>
      </c>
      <c r="E15" s="50"/>
      <c r="F15" s="50" t="s">
        <v>49</v>
      </c>
      <c r="G15" s="50"/>
      <c r="H15" s="50"/>
      <c r="I15" s="50"/>
      <c r="J15" s="50" t="s">
        <v>49</v>
      </c>
      <c r="K15" s="50" t="s">
        <v>49</v>
      </c>
      <c r="L15" s="50" t="s">
        <v>49</v>
      </c>
      <c r="M15" s="2">
        <f t="shared" si="0"/>
        <v>5</v>
      </c>
      <c r="P15" s="57" t="s">
        <v>33</v>
      </c>
      <c r="Q15">
        <f>COUNTIF($M$5:$M$39,"9")</f>
        <v>3</v>
      </c>
      <c r="R15" s="58">
        <f t="shared" si="1"/>
        <v>8.5714285714285715E-2</v>
      </c>
    </row>
    <row r="16" spans="1:18" ht="24" customHeight="1" thickBot="1" x14ac:dyDescent="0.3">
      <c r="A16" s="42">
        <v>13</v>
      </c>
      <c r="B16" s="43" t="s">
        <v>77</v>
      </c>
      <c r="C16" s="45" t="s">
        <v>78</v>
      </c>
      <c r="D16" s="47" t="s">
        <v>49</v>
      </c>
      <c r="E16" s="50" t="s">
        <v>49</v>
      </c>
      <c r="F16" s="50"/>
      <c r="G16" s="50" t="s">
        <v>49</v>
      </c>
      <c r="H16" s="50"/>
      <c r="I16" s="50"/>
      <c r="J16" s="50"/>
      <c r="K16" s="50" t="s">
        <v>49</v>
      </c>
      <c r="L16" s="50" t="s">
        <v>49</v>
      </c>
      <c r="M16" s="2">
        <f t="shared" si="0"/>
        <v>5</v>
      </c>
      <c r="Q16">
        <f>SUM(Q6:Q15)</f>
        <v>35</v>
      </c>
    </row>
    <row r="17" spans="1:17" ht="24" customHeight="1" thickBot="1" x14ac:dyDescent="0.3">
      <c r="A17" s="42">
        <v>14</v>
      </c>
      <c r="B17" s="43" t="s">
        <v>79</v>
      </c>
      <c r="C17" s="45" t="s">
        <v>80</v>
      </c>
      <c r="D17" s="47" t="s">
        <v>49</v>
      </c>
      <c r="E17" s="50" t="s">
        <v>49</v>
      </c>
      <c r="F17" s="50" t="s">
        <v>49</v>
      </c>
      <c r="G17" s="50"/>
      <c r="H17" s="50"/>
      <c r="I17" s="50"/>
      <c r="J17" s="50"/>
      <c r="K17" s="50" t="s">
        <v>49</v>
      </c>
      <c r="L17" s="50"/>
      <c r="M17" s="2">
        <f t="shared" si="0"/>
        <v>4</v>
      </c>
    </row>
    <row r="18" spans="1:17" ht="24" customHeight="1" thickBot="1" x14ac:dyDescent="0.3">
      <c r="A18" s="42">
        <v>15</v>
      </c>
      <c r="B18" s="43" t="s">
        <v>81</v>
      </c>
      <c r="C18" s="45" t="s">
        <v>82</v>
      </c>
      <c r="D18" s="47"/>
      <c r="E18" s="50"/>
      <c r="F18" s="50"/>
      <c r="G18" s="50"/>
      <c r="H18" s="50"/>
      <c r="I18" s="50"/>
      <c r="J18" s="50"/>
      <c r="K18" s="50"/>
      <c r="L18" s="50"/>
      <c r="M18" s="2">
        <f t="shared" si="0"/>
        <v>0</v>
      </c>
    </row>
    <row r="19" spans="1:17" ht="24" customHeight="1" thickBot="1" x14ac:dyDescent="0.3">
      <c r="A19" s="42">
        <v>16</v>
      </c>
      <c r="B19" s="43" t="s">
        <v>83</v>
      </c>
      <c r="C19" s="45" t="s">
        <v>84</v>
      </c>
      <c r="D19" s="47"/>
      <c r="E19" s="50"/>
      <c r="F19" s="50"/>
      <c r="G19" s="50"/>
      <c r="H19" s="50"/>
      <c r="I19" s="50"/>
      <c r="J19" s="50" t="s">
        <v>49</v>
      </c>
      <c r="K19" s="50" t="s">
        <v>49</v>
      </c>
      <c r="L19" s="50"/>
      <c r="M19" s="2">
        <f t="shared" si="0"/>
        <v>2</v>
      </c>
    </row>
    <row r="20" spans="1:17" ht="24" customHeight="1" thickBot="1" x14ac:dyDescent="0.3">
      <c r="A20" s="42">
        <v>17</v>
      </c>
      <c r="B20" s="43" t="s">
        <v>85</v>
      </c>
      <c r="C20" s="45" t="s">
        <v>86</v>
      </c>
      <c r="D20" s="47"/>
      <c r="E20" s="50"/>
      <c r="F20" s="50"/>
      <c r="G20" s="50"/>
      <c r="H20" s="50"/>
      <c r="I20" s="50"/>
      <c r="J20" s="50"/>
      <c r="K20" s="50"/>
      <c r="L20" s="50" t="s">
        <v>49</v>
      </c>
      <c r="M20" s="2">
        <f t="shared" si="0"/>
        <v>1</v>
      </c>
    </row>
    <row r="21" spans="1:17" ht="24" customHeight="1" thickBot="1" x14ac:dyDescent="0.3">
      <c r="A21" s="42">
        <v>18</v>
      </c>
      <c r="B21" s="43" t="s">
        <v>87</v>
      </c>
      <c r="C21" s="45" t="s">
        <v>88</v>
      </c>
      <c r="D21" s="47" t="s">
        <v>49</v>
      </c>
      <c r="E21" s="50" t="s">
        <v>49</v>
      </c>
      <c r="F21" s="50" t="s">
        <v>49</v>
      </c>
      <c r="G21" s="50" t="s">
        <v>49</v>
      </c>
      <c r="H21" s="50" t="s">
        <v>49</v>
      </c>
      <c r="I21" s="50"/>
      <c r="J21" s="50" t="s">
        <v>49</v>
      </c>
      <c r="K21" s="50" t="s">
        <v>49</v>
      </c>
      <c r="L21" s="50" t="s">
        <v>49</v>
      </c>
      <c r="M21" s="2">
        <f t="shared" si="0"/>
        <v>8</v>
      </c>
      <c r="Q21">
        <f>SUM(Q6:Q8)</f>
        <v>18</v>
      </c>
    </row>
    <row r="22" spans="1:17" ht="24" customHeight="1" thickBot="1" x14ac:dyDescent="0.3">
      <c r="A22" s="42">
        <v>19</v>
      </c>
      <c r="B22" s="43" t="s">
        <v>89</v>
      </c>
      <c r="C22" s="45" t="s">
        <v>90</v>
      </c>
      <c r="D22" s="47"/>
      <c r="E22" s="50"/>
      <c r="F22" s="50"/>
      <c r="G22" s="50"/>
      <c r="H22" s="50"/>
      <c r="I22" s="50"/>
      <c r="J22" s="50"/>
      <c r="K22" s="50"/>
      <c r="L22" s="50"/>
      <c r="M22" s="2">
        <f t="shared" si="0"/>
        <v>0</v>
      </c>
    </row>
    <row r="23" spans="1:17" ht="24" customHeight="1" thickBot="1" x14ac:dyDescent="0.3">
      <c r="A23" s="42">
        <v>21</v>
      </c>
      <c r="B23" s="43" t="s">
        <v>91</v>
      </c>
      <c r="C23" s="45" t="s">
        <v>92</v>
      </c>
      <c r="D23" s="47"/>
      <c r="E23" s="50"/>
      <c r="F23" s="50"/>
      <c r="G23" s="50"/>
      <c r="H23" s="50"/>
      <c r="I23" s="50"/>
      <c r="J23" s="50"/>
      <c r="K23" s="50" t="s">
        <v>49</v>
      </c>
      <c r="L23" s="50"/>
      <c r="M23" s="2">
        <f t="shared" si="0"/>
        <v>1</v>
      </c>
    </row>
    <row r="24" spans="1:17" ht="24" customHeight="1" thickBot="1" x14ac:dyDescent="0.3">
      <c r="A24" s="42">
        <v>22</v>
      </c>
      <c r="B24" s="43" t="s">
        <v>93</v>
      </c>
      <c r="C24" s="45" t="s">
        <v>94</v>
      </c>
      <c r="D24" s="47"/>
      <c r="E24" s="50"/>
      <c r="F24" s="50"/>
      <c r="G24" s="50"/>
      <c r="H24" s="50"/>
      <c r="I24" s="50"/>
      <c r="J24" s="50"/>
      <c r="K24" s="50"/>
      <c r="L24" s="50"/>
      <c r="M24" s="2">
        <f t="shared" si="0"/>
        <v>0</v>
      </c>
    </row>
    <row r="25" spans="1:17" ht="24" customHeight="1" thickBot="1" x14ac:dyDescent="0.3">
      <c r="A25" s="42">
        <v>23</v>
      </c>
      <c r="B25" s="43" t="s">
        <v>95</v>
      </c>
      <c r="C25" s="45" t="s">
        <v>96</v>
      </c>
      <c r="D25" s="47"/>
      <c r="E25" s="50" t="s">
        <v>49</v>
      </c>
      <c r="F25" s="50"/>
      <c r="G25" s="50"/>
      <c r="H25" s="50"/>
      <c r="I25" s="50"/>
      <c r="J25" s="50"/>
      <c r="K25" s="50" t="s">
        <v>49</v>
      </c>
      <c r="L25" s="50"/>
      <c r="M25" s="2">
        <f t="shared" si="0"/>
        <v>2</v>
      </c>
    </row>
    <row r="26" spans="1:17" ht="24" customHeight="1" thickBot="1" x14ac:dyDescent="0.3">
      <c r="A26" s="42">
        <v>24</v>
      </c>
      <c r="B26" s="43" t="s">
        <v>97</v>
      </c>
      <c r="C26" s="45" t="s">
        <v>98</v>
      </c>
      <c r="D26" s="47" t="s">
        <v>49</v>
      </c>
      <c r="E26" s="50" t="s">
        <v>49</v>
      </c>
      <c r="F26" s="50" t="s">
        <v>49</v>
      </c>
      <c r="G26" s="50" t="s">
        <v>49</v>
      </c>
      <c r="H26" s="50" t="s">
        <v>49</v>
      </c>
      <c r="I26" s="50" t="s">
        <v>49</v>
      </c>
      <c r="J26" s="50" t="s">
        <v>49</v>
      </c>
      <c r="K26" s="50" t="s">
        <v>49</v>
      </c>
      <c r="L26" s="50"/>
      <c r="M26" s="2">
        <f t="shared" si="0"/>
        <v>8</v>
      </c>
    </row>
    <row r="27" spans="1:17" ht="24" customHeight="1" thickBot="1" x14ac:dyDescent="0.3">
      <c r="A27" s="42">
        <v>25</v>
      </c>
      <c r="B27" s="43" t="s">
        <v>99</v>
      </c>
      <c r="C27" s="45" t="s">
        <v>100</v>
      </c>
      <c r="D27" s="47"/>
      <c r="E27" s="50" t="s">
        <v>49</v>
      </c>
      <c r="F27" s="50" t="s">
        <v>49</v>
      </c>
      <c r="G27" s="50" t="s">
        <v>49</v>
      </c>
      <c r="H27" s="50" t="s">
        <v>49</v>
      </c>
      <c r="I27" s="50" t="s">
        <v>49</v>
      </c>
      <c r="J27" s="50" t="s">
        <v>49</v>
      </c>
      <c r="K27" s="50"/>
      <c r="L27" s="50"/>
      <c r="M27" s="2">
        <f t="shared" si="0"/>
        <v>6</v>
      </c>
    </row>
    <row r="28" spans="1:17" ht="24" customHeight="1" thickBot="1" x14ac:dyDescent="0.3">
      <c r="A28" s="42">
        <v>26</v>
      </c>
      <c r="B28" s="43" t="s">
        <v>101</v>
      </c>
      <c r="C28" s="45" t="s">
        <v>102</v>
      </c>
      <c r="D28" s="47"/>
      <c r="E28" s="50"/>
      <c r="F28" s="50"/>
      <c r="G28" s="50"/>
      <c r="H28" s="50"/>
      <c r="I28" s="50"/>
      <c r="J28" s="50" t="s">
        <v>49</v>
      </c>
      <c r="K28" s="50"/>
      <c r="L28" s="50" t="s">
        <v>49</v>
      </c>
      <c r="M28" s="2">
        <f t="shared" si="0"/>
        <v>2</v>
      </c>
    </row>
    <row r="29" spans="1:17" ht="24" customHeight="1" thickBot="1" x14ac:dyDescent="0.3">
      <c r="A29" s="42">
        <v>27</v>
      </c>
      <c r="B29" s="43" t="s">
        <v>103</v>
      </c>
      <c r="C29" s="45" t="s">
        <v>104</v>
      </c>
      <c r="D29" s="47"/>
      <c r="E29" s="50"/>
      <c r="F29" s="50"/>
      <c r="G29" s="50"/>
      <c r="H29" s="50"/>
      <c r="I29" s="50"/>
      <c r="J29" s="50"/>
      <c r="K29" s="50"/>
      <c r="L29" s="50"/>
      <c r="M29" s="2">
        <f t="shared" si="0"/>
        <v>0</v>
      </c>
    </row>
    <row r="30" spans="1:17" ht="24" customHeight="1" thickBot="1" x14ac:dyDescent="0.3">
      <c r="A30" s="42">
        <v>28</v>
      </c>
      <c r="B30" s="43" t="s">
        <v>105</v>
      </c>
      <c r="C30" s="45" t="s">
        <v>106</v>
      </c>
      <c r="D30" s="47" t="s">
        <v>49</v>
      </c>
      <c r="E30" s="50" t="s">
        <v>49</v>
      </c>
      <c r="F30" s="50" t="s">
        <v>49</v>
      </c>
      <c r="G30" s="50" t="s">
        <v>49</v>
      </c>
      <c r="H30" s="50"/>
      <c r="I30" s="50" t="s">
        <v>49</v>
      </c>
      <c r="J30" s="50"/>
      <c r="K30" s="50" t="s">
        <v>49</v>
      </c>
      <c r="L30" s="50" t="s">
        <v>49</v>
      </c>
      <c r="M30" s="2">
        <f t="shared" si="0"/>
        <v>7</v>
      </c>
    </row>
    <row r="31" spans="1:17" ht="24" customHeight="1" thickBot="1" x14ac:dyDescent="0.3">
      <c r="A31" s="42">
        <v>29</v>
      </c>
      <c r="B31" s="43" t="s">
        <v>107</v>
      </c>
      <c r="C31" s="45" t="s">
        <v>108</v>
      </c>
      <c r="D31" s="47" t="s">
        <v>49</v>
      </c>
      <c r="E31" s="50" t="s">
        <v>49</v>
      </c>
      <c r="F31" s="50"/>
      <c r="G31" s="50"/>
      <c r="H31" s="50" t="s">
        <v>49</v>
      </c>
      <c r="I31" s="50" t="s">
        <v>49</v>
      </c>
      <c r="J31" s="50" t="s">
        <v>49</v>
      </c>
      <c r="K31" s="50" t="s">
        <v>49</v>
      </c>
      <c r="L31" s="50" t="s">
        <v>49</v>
      </c>
      <c r="M31" s="2">
        <f t="shared" si="0"/>
        <v>7</v>
      </c>
    </row>
    <row r="32" spans="1:17" ht="24" customHeight="1" thickBot="1" x14ac:dyDescent="0.3">
      <c r="A32" s="42">
        <v>32</v>
      </c>
      <c r="B32" s="43" t="s">
        <v>109</v>
      </c>
      <c r="C32" s="45" t="s">
        <v>110</v>
      </c>
      <c r="D32" s="47"/>
      <c r="E32" s="50"/>
      <c r="F32" s="50"/>
      <c r="G32" s="50"/>
      <c r="H32" s="50"/>
      <c r="I32" s="50" t="s">
        <v>49</v>
      </c>
      <c r="J32" s="50" t="s">
        <v>49</v>
      </c>
      <c r="K32" s="50"/>
      <c r="L32" s="50"/>
      <c r="M32" s="2">
        <f t="shared" si="0"/>
        <v>2</v>
      </c>
    </row>
    <row r="33" spans="1:13" ht="24" customHeight="1" thickBot="1" x14ac:dyDescent="0.3">
      <c r="A33" s="42">
        <v>33</v>
      </c>
      <c r="B33" s="43" t="s">
        <v>111</v>
      </c>
      <c r="C33" s="45" t="s">
        <v>112</v>
      </c>
      <c r="D33" s="47"/>
      <c r="E33" s="50"/>
      <c r="F33" s="50"/>
      <c r="G33" s="50"/>
      <c r="H33" s="50"/>
      <c r="I33" s="50"/>
      <c r="J33" s="50"/>
      <c r="K33" s="50"/>
      <c r="L33" s="50"/>
      <c r="M33" s="2">
        <f t="shared" si="0"/>
        <v>0</v>
      </c>
    </row>
    <row r="34" spans="1:13" ht="24" customHeight="1" thickBot="1" x14ac:dyDescent="0.3">
      <c r="A34" s="42">
        <v>34</v>
      </c>
      <c r="B34" s="43" t="s">
        <v>113</v>
      </c>
      <c r="C34" s="45" t="s">
        <v>114</v>
      </c>
      <c r="D34" s="47"/>
      <c r="E34" s="50"/>
      <c r="F34" s="50"/>
      <c r="G34" s="50" t="s">
        <v>49</v>
      </c>
      <c r="H34" s="50" t="s">
        <v>49</v>
      </c>
      <c r="I34" s="50"/>
      <c r="J34" s="50"/>
      <c r="K34" s="50" t="s">
        <v>49</v>
      </c>
      <c r="L34" s="50" t="s">
        <v>49</v>
      </c>
      <c r="M34" s="2">
        <f t="shared" si="0"/>
        <v>4</v>
      </c>
    </row>
    <row r="35" spans="1:13" ht="24" customHeight="1" thickBot="1" x14ac:dyDescent="0.3">
      <c r="A35" s="42">
        <v>35</v>
      </c>
      <c r="B35" s="43" t="s">
        <v>115</v>
      </c>
      <c r="C35" s="45" t="s">
        <v>116</v>
      </c>
      <c r="D35" s="47"/>
      <c r="E35" s="50"/>
      <c r="F35" s="50" t="s">
        <v>49</v>
      </c>
      <c r="G35" s="50"/>
      <c r="H35" s="50"/>
      <c r="I35" s="50" t="s">
        <v>49</v>
      </c>
      <c r="J35" s="50"/>
      <c r="K35" s="50"/>
      <c r="L35" s="50"/>
      <c r="M35" s="2">
        <f t="shared" si="0"/>
        <v>2</v>
      </c>
    </row>
    <row r="36" spans="1:13" ht="24" customHeight="1" thickBot="1" x14ac:dyDescent="0.3">
      <c r="A36" s="42">
        <v>36</v>
      </c>
      <c r="B36" s="43" t="s">
        <v>117</v>
      </c>
      <c r="C36" s="45" t="s">
        <v>118</v>
      </c>
      <c r="D36" s="47"/>
      <c r="E36" s="50"/>
      <c r="F36" s="50"/>
      <c r="G36" s="50"/>
      <c r="H36" s="50"/>
      <c r="I36" s="50" t="s">
        <v>49</v>
      </c>
      <c r="J36" s="50"/>
      <c r="K36" s="50"/>
      <c r="L36" s="50"/>
      <c r="M36" s="2">
        <f t="shared" si="0"/>
        <v>1</v>
      </c>
    </row>
    <row r="37" spans="1:13" ht="24" customHeight="1" thickBot="1" x14ac:dyDescent="0.3">
      <c r="A37" s="42">
        <v>37</v>
      </c>
      <c r="B37" s="43" t="s">
        <v>119</v>
      </c>
      <c r="C37" s="45" t="s">
        <v>120</v>
      </c>
      <c r="D37" s="47"/>
      <c r="E37" s="50"/>
      <c r="F37" s="50"/>
      <c r="G37" s="50"/>
      <c r="H37" s="50"/>
      <c r="I37" s="50"/>
      <c r="J37" s="50"/>
      <c r="K37" s="50"/>
      <c r="L37" s="50"/>
      <c r="M37" s="2">
        <f t="shared" si="0"/>
        <v>0</v>
      </c>
    </row>
    <row r="38" spans="1:13" ht="24" customHeight="1" thickBot="1" x14ac:dyDescent="0.3">
      <c r="A38" s="42">
        <v>38</v>
      </c>
      <c r="B38" s="43" t="s">
        <v>121</v>
      </c>
      <c r="C38" s="45" t="s">
        <v>122</v>
      </c>
      <c r="D38" s="47" t="s">
        <v>49</v>
      </c>
      <c r="E38" s="50" t="s">
        <v>49</v>
      </c>
      <c r="F38" s="50" t="s">
        <v>49</v>
      </c>
      <c r="G38" s="50" t="s">
        <v>49</v>
      </c>
      <c r="H38" s="50" t="s">
        <v>49</v>
      </c>
      <c r="I38" s="50" t="s">
        <v>49</v>
      </c>
      <c r="J38" s="50" t="s">
        <v>49</v>
      </c>
      <c r="K38" s="50" t="s">
        <v>49</v>
      </c>
      <c r="L38" s="50" t="s">
        <v>49</v>
      </c>
      <c r="M38" s="2">
        <f t="shared" si="0"/>
        <v>9</v>
      </c>
    </row>
    <row r="39" spans="1:13" ht="24" customHeight="1" thickBot="1" x14ac:dyDescent="0.3">
      <c r="A39" s="42">
        <v>39</v>
      </c>
      <c r="B39" s="43" t="s">
        <v>123</v>
      </c>
      <c r="C39" s="45" t="s">
        <v>124</v>
      </c>
      <c r="D39" s="48"/>
      <c r="E39" s="51"/>
      <c r="F39" s="51"/>
      <c r="G39" s="51"/>
      <c r="H39" s="51"/>
      <c r="I39" s="51"/>
      <c r="J39" s="51"/>
      <c r="K39" s="51"/>
      <c r="L39" s="51"/>
      <c r="M39" s="2">
        <f t="shared" si="0"/>
        <v>0</v>
      </c>
    </row>
    <row r="40" spans="1:13" ht="15.75" thickBot="1" x14ac:dyDescent="0.3">
      <c r="A40" s="39"/>
      <c r="B40" s="38"/>
      <c r="C40" s="41"/>
      <c r="D40" s="52"/>
      <c r="E40" s="35"/>
      <c r="F40" s="35"/>
      <c r="G40" s="35"/>
      <c r="H40" s="35"/>
      <c r="I40" s="35"/>
      <c r="J40" s="35"/>
      <c r="K40" s="35"/>
      <c r="L40" s="35"/>
      <c r="M40" s="36"/>
    </row>
    <row r="41" spans="1:13" ht="15.75" thickBot="1" x14ac:dyDescent="0.3">
      <c r="A41" s="40"/>
      <c r="B41" s="11"/>
      <c r="C41" s="38"/>
      <c r="D41" s="53"/>
      <c r="E41" s="5">
        <f t="shared" ref="E41:L41" si="2">COUNTIF(E5:E39,"X")</f>
        <v>16</v>
      </c>
      <c r="F41" s="5">
        <f t="shared" si="2"/>
        <v>13</v>
      </c>
      <c r="G41" s="5">
        <f t="shared" si="2"/>
        <v>12</v>
      </c>
      <c r="H41" s="5">
        <f t="shared" si="2"/>
        <v>12</v>
      </c>
      <c r="I41" s="5">
        <f t="shared" si="2"/>
        <v>10</v>
      </c>
      <c r="J41" s="5"/>
      <c r="K41" s="5"/>
      <c r="L41" s="5">
        <f t="shared" si="2"/>
        <v>16</v>
      </c>
      <c r="M41" s="6">
        <f>COUNTIF(M5:M39,"&gt;0")</f>
        <v>26</v>
      </c>
    </row>
    <row r="42" spans="1:13" ht="17.25" thickBot="1" x14ac:dyDescent="0.3">
      <c r="C42" s="11"/>
      <c r="D42" s="54"/>
      <c r="E42" s="4">
        <f t="shared" ref="E42:M42" si="3">E41/40</f>
        <v>0.4</v>
      </c>
      <c r="F42" s="4">
        <f t="shared" si="3"/>
        <v>0.32500000000000001</v>
      </c>
      <c r="G42" s="4">
        <f t="shared" si="3"/>
        <v>0.3</v>
      </c>
      <c r="H42" s="4">
        <f t="shared" si="3"/>
        <v>0.3</v>
      </c>
      <c r="I42" s="4">
        <f t="shared" si="3"/>
        <v>0.25</v>
      </c>
      <c r="J42" s="4"/>
      <c r="K42" s="4"/>
      <c r="L42" s="4">
        <f t="shared" si="3"/>
        <v>0.4</v>
      </c>
      <c r="M42" s="4">
        <f t="shared" si="3"/>
        <v>0.65</v>
      </c>
    </row>
  </sheetData>
  <mergeCells count="6">
    <mergeCell ref="A1:B1"/>
    <mergeCell ref="E1:L2"/>
    <mergeCell ref="M1:M4"/>
    <mergeCell ref="A2:B2"/>
    <mergeCell ref="A3:A4"/>
    <mergeCell ref="B3:B4"/>
  </mergeCells>
  <conditionalFormatting sqref="E5:L40">
    <cfRule type="cellIs" dxfId="2" priority="4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topLeftCell="A2" zoomScale="83" zoomScaleNormal="83" workbookViewId="0">
      <pane xSplit="3" ySplit="3" topLeftCell="D44" activePane="bottomRight" state="frozenSplit"/>
      <selection activeCell="C46" sqref="C46"/>
      <selection pane="topRight" activeCell="C46" sqref="C46"/>
      <selection pane="bottomLeft" activeCell="C46" sqref="C46"/>
      <selection pane="bottomRight" activeCell="D5" sqref="D5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7.42578125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8.140625" customWidth="1"/>
    <col min="17" max="17" width="18.5703125" bestFit="1" customWidth="1"/>
  </cols>
  <sheetData>
    <row r="1" spans="1:18" ht="15" customHeight="1" x14ac:dyDescent="0.25">
      <c r="A1" s="181" t="s">
        <v>17</v>
      </c>
      <c r="B1" s="182"/>
      <c r="C1" s="7" t="s">
        <v>21</v>
      </c>
      <c r="D1" s="7"/>
      <c r="E1" s="66"/>
      <c r="F1" s="139"/>
      <c r="G1" s="139"/>
      <c r="H1" s="139"/>
      <c r="I1" s="139"/>
      <c r="J1" s="139"/>
      <c r="K1" s="139"/>
      <c r="L1" s="139"/>
      <c r="M1" s="139"/>
      <c r="N1" s="143" t="s">
        <v>20</v>
      </c>
    </row>
    <row r="2" spans="1:18" ht="15.75" thickBot="1" x14ac:dyDescent="0.3">
      <c r="A2" s="188" t="s">
        <v>18</v>
      </c>
      <c r="B2" s="189"/>
      <c r="C2" s="1" t="s">
        <v>19</v>
      </c>
      <c r="D2" s="1"/>
      <c r="E2" s="68"/>
      <c r="F2" s="141"/>
      <c r="G2" s="141"/>
      <c r="H2" s="141"/>
      <c r="I2" s="141"/>
      <c r="J2" s="141"/>
      <c r="K2" s="141"/>
      <c r="L2" s="141"/>
      <c r="M2" s="141"/>
      <c r="N2" s="144"/>
    </row>
    <row r="3" spans="1:18" ht="94.5" customHeight="1" x14ac:dyDescent="0.25">
      <c r="A3" s="190" t="s">
        <v>0</v>
      </c>
      <c r="B3" s="192" t="s">
        <v>1</v>
      </c>
      <c r="C3" s="56" t="s">
        <v>2</v>
      </c>
      <c r="D3" s="55" t="s">
        <v>127</v>
      </c>
      <c r="E3" s="70" t="s">
        <v>127</v>
      </c>
      <c r="F3" s="70" t="s">
        <v>5</v>
      </c>
      <c r="G3" s="70" t="s">
        <v>6</v>
      </c>
      <c r="H3" s="70" t="s">
        <v>136</v>
      </c>
      <c r="I3" s="70" t="s">
        <v>8</v>
      </c>
      <c r="J3" s="70" t="s">
        <v>135</v>
      </c>
      <c r="K3" s="70" t="s">
        <v>126</v>
      </c>
      <c r="L3" s="70" t="s">
        <v>128</v>
      </c>
      <c r="M3" s="70" t="s">
        <v>125</v>
      </c>
      <c r="N3" s="144"/>
    </row>
    <row r="4" spans="1:18" ht="15.75" thickBot="1" x14ac:dyDescent="0.3">
      <c r="A4" s="191"/>
      <c r="B4" s="193"/>
      <c r="C4" s="41"/>
      <c r="D4" s="3">
        <v>1</v>
      </c>
      <c r="E4" s="75">
        <v>1</v>
      </c>
      <c r="F4" s="75">
        <v>1</v>
      </c>
      <c r="G4" s="75">
        <v>1</v>
      </c>
      <c r="H4" s="75">
        <v>1</v>
      </c>
      <c r="I4" s="75">
        <v>1</v>
      </c>
      <c r="J4" s="75">
        <v>1</v>
      </c>
      <c r="K4" s="75"/>
      <c r="L4" s="75"/>
      <c r="M4" s="75">
        <v>1</v>
      </c>
      <c r="N4" s="194"/>
    </row>
    <row r="5" spans="1:18" ht="24" customHeight="1" x14ac:dyDescent="0.25">
      <c r="A5" s="88">
        <v>1</v>
      </c>
      <c r="B5" s="98" t="s">
        <v>182</v>
      </c>
      <c r="C5" s="95" t="s">
        <v>141</v>
      </c>
      <c r="D5" s="46"/>
      <c r="E5" s="77"/>
      <c r="F5" s="78"/>
      <c r="G5" s="78" t="s">
        <v>49</v>
      </c>
      <c r="H5" s="78"/>
      <c r="I5" s="78"/>
      <c r="J5" s="78"/>
      <c r="K5" s="78"/>
      <c r="L5" s="78" t="s">
        <v>49</v>
      </c>
      <c r="M5" s="78" t="s">
        <v>49</v>
      </c>
      <c r="N5" s="89">
        <f>COUNTIF(E5:M5,"x")</f>
        <v>3</v>
      </c>
      <c r="P5" t="s">
        <v>133</v>
      </c>
      <c r="Q5" t="s">
        <v>134</v>
      </c>
      <c r="R5" t="s">
        <v>47</v>
      </c>
    </row>
    <row r="6" spans="1:18" ht="24" customHeight="1" x14ac:dyDescent="0.25">
      <c r="A6" s="88">
        <v>2</v>
      </c>
      <c r="B6" s="99" t="s">
        <v>183</v>
      </c>
      <c r="C6" s="96" t="s">
        <v>142</v>
      </c>
      <c r="D6" s="47"/>
      <c r="E6" s="79" t="s">
        <v>49</v>
      </c>
      <c r="F6" s="80" t="s">
        <v>49</v>
      </c>
      <c r="G6" s="80"/>
      <c r="H6" s="80"/>
      <c r="I6" s="80"/>
      <c r="J6" s="80" t="s">
        <v>49</v>
      </c>
      <c r="K6" s="80" t="s">
        <v>49</v>
      </c>
      <c r="L6" s="80" t="s">
        <v>49</v>
      </c>
      <c r="M6" s="80" t="s">
        <v>49</v>
      </c>
      <c r="N6" s="89">
        <f t="shared" ref="N6:N47" si="0">COUNTIF(E6:M6,"x")</f>
        <v>6</v>
      </c>
      <c r="P6" s="57" t="s">
        <v>24</v>
      </c>
      <c r="Q6">
        <f>COUNTIF($N$5:$N$47,"0")</f>
        <v>3</v>
      </c>
      <c r="R6" s="94">
        <f>Q6/$Q$16</f>
        <v>6.9767441860465115E-2</v>
      </c>
    </row>
    <row r="7" spans="1:18" ht="24" customHeight="1" x14ac:dyDescent="0.25">
      <c r="A7" s="88">
        <v>3</v>
      </c>
      <c r="B7" s="99" t="s">
        <v>184</v>
      </c>
      <c r="C7" s="96" t="s">
        <v>143</v>
      </c>
      <c r="D7" s="47"/>
      <c r="E7" s="79"/>
      <c r="F7" s="80"/>
      <c r="G7" s="80" t="s">
        <v>49</v>
      </c>
      <c r="H7" s="80"/>
      <c r="I7" s="80"/>
      <c r="J7" s="80"/>
      <c r="K7" s="80"/>
      <c r="L7" s="80"/>
      <c r="M7" s="80"/>
      <c r="N7" s="89">
        <f t="shared" si="0"/>
        <v>1</v>
      </c>
      <c r="P7" s="57" t="s">
        <v>25</v>
      </c>
      <c r="Q7">
        <f>COUNTIF($N$5:$N$47,"1")</f>
        <v>2</v>
      </c>
      <c r="R7" s="94">
        <f t="shared" ref="R7:R15" si="1">Q7/$Q$16</f>
        <v>4.6511627906976744E-2</v>
      </c>
    </row>
    <row r="8" spans="1:18" ht="24" customHeight="1" x14ac:dyDescent="0.25">
      <c r="A8" s="88">
        <v>4</v>
      </c>
      <c r="B8" s="99" t="s">
        <v>185</v>
      </c>
      <c r="C8" s="96" t="s">
        <v>144</v>
      </c>
      <c r="D8" s="47"/>
      <c r="E8" s="79" t="s">
        <v>49</v>
      </c>
      <c r="F8" s="80" t="s">
        <v>49</v>
      </c>
      <c r="G8" s="80" t="s">
        <v>49</v>
      </c>
      <c r="H8" s="80" t="s">
        <v>49</v>
      </c>
      <c r="I8" s="80" t="s">
        <v>49</v>
      </c>
      <c r="J8" s="80" t="s">
        <v>49</v>
      </c>
      <c r="K8" s="80" t="s">
        <v>49</v>
      </c>
      <c r="L8" s="80" t="s">
        <v>49</v>
      </c>
      <c r="M8" s="80" t="s">
        <v>49</v>
      </c>
      <c r="N8" s="89">
        <f t="shared" si="0"/>
        <v>9</v>
      </c>
      <c r="P8" s="57" t="s">
        <v>26</v>
      </c>
      <c r="Q8">
        <f>COUNTIF($N$5:$N$47,"2")</f>
        <v>3</v>
      </c>
      <c r="R8" s="94">
        <f t="shared" si="1"/>
        <v>6.9767441860465115E-2</v>
      </c>
    </row>
    <row r="9" spans="1:18" ht="24" customHeight="1" x14ac:dyDescent="0.25">
      <c r="A9" s="88">
        <v>5</v>
      </c>
      <c r="B9" s="99" t="s">
        <v>186</v>
      </c>
      <c r="C9" s="96" t="s">
        <v>145</v>
      </c>
      <c r="D9" s="47"/>
      <c r="E9" s="79" t="s">
        <v>49</v>
      </c>
      <c r="F9" s="80"/>
      <c r="G9" s="80" t="s">
        <v>49</v>
      </c>
      <c r="H9" s="80" t="s">
        <v>49</v>
      </c>
      <c r="I9" s="80"/>
      <c r="J9" s="80" t="s">
        <v>49</v>
      </c>
      <c r="K9" s="80"/>
      <c r="L9" s="80" t="s">
        <v>49</v>
      </c>
      <c r="M9" s="80" t="s">
        <v>49</v>
      </c>
      <c r="N9" s="89">
        <f t="shared" si="0"/>
        <v>6</v>
      </c>
      <c r="P9" s="57" t="s">
        <v>27</v>
      </c>
      <c r="Q9">
        <f>COUNTIF($N$5:$N$47,"3")</f>
        <v>3</v>
      </c>
      <c r="R9" s="94">
        <f t="shared" si="1"/>
        <v>6.9767441860465115E-2</v>
      </c>
    </row>
    <row r="10" spans="1:18" ht="24" customHeight="1" x14ac:dyDescent="0.25">
      <c r="A10" s="88">
        <v>6</v>
      </c>
      <c r="B10" s="99" t="s">
        <v>187</v>
      </c>
      <c r="C10" s="96" t="s">
        <v>146</v>
      </c>
      <c r="D10" s="47"/>
      <c r="E10" s="79" t="s">
        <v>49</v>
      </c>
      <c r="F10" s="80" t="s">
        <v>49</v>
      </c>
      <c r="G10" s="80" t="s">
        <v>49</v>
      </c>
      <c r="H10" s="80" t="s">
        <v>49</v>
      </c>
      <c r="I10" s="80" t="s">
        <v>49</v>
      </c>
      <c r="J10" s="80" t="s">
        <v>49</v>
      </c>
      <c r="K10" s="80" t="s">
        <v>49</v>
      </c>
      <c r="L10" s="80" t="s">
        <v>49</v>
      </c>
      <c r="M10" s="80" t="s">
        <v>49</v>
      </c>
      <c r="N10" s="89">
        <f t="shared" si="0"/>
        <v>9</v>
      </c>
      <c r="P10" s="57" t="s">
        <v>28</v>
      </c>
      <c r="Q10">
        <f>COUNTIF($N$5:$N$47,"4")</f>
        <v>10</v>
      </c>
      <c r="R10" s="94">
        <f t="shared" si="1"/>
        <v>0.23255813953488372</v>
      </c>
    </row>
    <row r="11" spans="1:18" ht="24" customHeight="1" x14ac:dyDescent="0.25">
      <c r="A11" s="88">
        <v>7</v>
      </c>
      <c r="B11" s="99" t="s">
        <v>188</v>
      </c>
      <c r="C11" s="96" t="s">
        <v>147</v>
      </c>
      <c r="D11" s="47"/>
      <c r="E11" s="79"/>
      <c r="F11" s="80"/>
      <c r="G11" s="80" t="s">
        <v>49</v>
      </c>
      <c r="H11" s="80" t="s">
        <v>49</v>
      </c>
      <c r="I11" s="80"/>
      <c r="J11" s="80"/>
      <c r="K11" s="80"/>
      <c r="L11" s="80" t="s">
        <v>49</v>
      </c>
      <c r="M11" s="80" t="s">
        <v>49</v>
      </c>
      <c r="N11" s="89">
        <f t="shared" si="0"/>
        <v>4</v>
      </c>
      <c r="P11" s="57" t="s">
        <v>29</v>
      </c>
      <c r="Q11">
        <f>COUNTIF($N$5:$N$47,"5")</f>
        <v>1</v>
      </c>
      <c r="R11" s="94">
        <f t="shared" si="1"/>
        <v>2.3255813953488372E-2</v>
      </c>
    </row>
    <row r="12" spans="1:18" ht="24" customHeight="1" x14ac:dyDescent="0.25">
      <c r="A12" s="88">
        <v>8</v>
      </c>
      <c r="B12" s="99" t="s">
        <v>189</v>
      </c>
      <c r="C12" s="96" t="s">
        <v>148</v>
      </c>
      <c r="D12" s="47"/>
      <c r="E12" s="79" t="s">
        <v>49</v>
      </c>
      <c r="F12" s="80"/>
      <c r="G12" s="80"/>
      <c r="H12" s="80" t="s">
        <v>49</v>
      </c>
      <c r="I12" s="80"/>
      <c r="J12" s="80"/>
      <c r="K12" s="80"/>
      <c r="L12" s="80" t="s">
        <v>49</v>
      </c>
      <c r="M12" s="80" t="s">
        <v>49</v>
      </c>
      <c r="N12" s="89">
        <f t="shared" si="0"/>
        <v>4</v>
      </c>
      <c r="P12" s="57" t="s">
        <v>30</v>
      </c>
      <c r="Q12">
        <f>COUNTIF($N$5:$N$47,"6")</f>
        <v>6</v>
      </c>
      <c r="R12" s="94">
        <f t="shared" si="1"/>
        <v>0.13953488372093023</v>
      </c>
    </row>
    <row r="13" spans="1:18" ht="24" customHeight="1" x14ac:dyDescent="0.25">
      <c r="A13" s="88">
        <v>9</v>
      </c>
      <c r="B13" s="99" t="s">
        <v>190</v>
      </c>
      <c r="C13" s="96" t="s">
        <v>149</v>
      </c>
      <c r="D13" s="47"/>
      <c r="E13" s="79" t="s">
        <v>49</v>
      </c>
      <c r="F13" s="80" t="s">
        <v>49</v>
      </c>
      <c r="G13" s="80" t="s">
        <v>49</v>
      </c>
      <c r="H13" s="80" t="s">
        <v>49</v>
      </c>
      <c r="I13" s="80" t="s">
        <v>49</v>
      </c>
      <c r="J13" s="80"/>
      <c r="K13" s="80" t="s">
        <v>49</v>
      </c>
      <c r="L13" s="80" t="s">
        <v>49</v>
      </c>
      <c r="M13" s="80" t="s">
        <v>49</v>
      </c>
      <c r="N13" s="89">
        <f t="shared" si="0"/>
        <v>8</v>
      </c>
      <c r="P13" s="57" t="s">
        <v>31</v>
      </c>
      <c r="Q13">
        <f>COUNTIF($N$5:$N$47,"7")</f>
        <v>3</v>
      </c>
      <c r="R13" s="94">
        <f t="shared" si="1"/>
        <v>6.9767441860465115E-2</v>
      </c>
    </row>
    <row r="14" spans="1:18" ht="24" customHeight="1" x14ac:dyDescent="0.25">
      <c r="A14" s="88">
        <v>10</v>
      </c>
      <c r="B14" s="99" t="s">
        <v>191</v>
      </c>
      <c r="C14" s="96" t="s">
        <v>150</v>
      </c>
      <c r="D14" s="47"/>
      <c r="E14" s="79" t="s">
        <v>49</v>
      </c>
      <c r="F14" s="80"/>
      <c r="G14" s="80" t="s">
        <v>49</v>
      </c>
      <c r="H14" s="80"/>
      <c r="I14" s="80" t="s">
        <v>49</v>
      </c>
      <c r="J14" s="80"/>
      <c r="K14" s="80"/>
      <c r="L14" s="80" t="s">
        <v>49</v>
      </c>
      <c r="M14" s="80"/>
      <c r="N14" s="89">
        <f t="shared" si="0"/>
        <v>4</v>
      </c>
      <c r="P14" s="57" t="s">
        <v>32</v>
      </c>
      <c r="Q14">
        <f>COUNTIF($N$5:$N$47,"8")</f>
        <v>6</v>
      </c>
      <c r="R14" s="94">
        <f t="shared" si="1"/>
        <v>0.13953488372093023</v>
      </c>
    </row>
    <row r="15" spans="1:18" ht="24" customHeight="1" x14ac:dyDescent="0.25">
      <c r="A15" s="88">
        <v>11</v>
      </c>
      <c r="B15" s="99" t="s">
        <v>192</v>
      </c>
      <c r="C15" s="96" t="s">
        <v>151</v>
      </c>
      <c r="D15" s="47"/>
      <c r="E15" s="79"/>
      <c r="F15" s="80"/>
      <c r="G15" s="80" t="s">
        <v>49</v>
      </c>
      <c r="H15" s="80" t="s">
        <v>49</v>
      </c>
      <c r="I15" s="80"/>
      <c r="J15" s="80"/>
      <c r="K15" s="80"/>
      <c r="L15" s="80" t="s">
        <v>49</v>
      </c>
      <c r="M15" s="80" t="s">
        <v>49</v>
      </c>
      <c r="N15" s="89">
        <f t="shared" si="0"/>
        <v>4</v>
      </c>
      <c r="P15" s="57" t="s">
        <v>33</v>
      </c>
      <c r="Q15">
        <f>COUNTIF($N$5:$N$47,"9")</f>
        <v>6</v>
      </c>
      <c r="R15" s="94">
        <f t="shared" si="1"/>
        <v>0.13953488372093023</v>
      </c>
    </row>
    <row r="16" spans="1:18" ht="24" customHeight="1" x14ac:dyDescent="0.25">
      <c r="A16" s="88">
        <v>12</v>
      </c>
      <c r="B16" s="99" t="s">
        <v>193</v>
      </c>
      <c r="C16" s="96" t="s">
        <v>152</v>
      </c>
      <c r="D16" s="47"/>
      <c r="E16" s="79" t="s">
        <v>49</v>
      </c>
      <c r="F16" s="80" t="s">
        <v>49</v>
      </c>
      <c r="G16" s="80" t="s">
        <v>49</v>
      </c>
      <c r="H16" s="80" t="s">
        <v>49</v>
      </c>
      <c r="I16" s="80" t="s">
        <v>49</v>
      </c>
      <c r="J16" s="80" t="s">
        <v>49</v>
      </c>
      <c r="K16" s="80" t="s">
        <v>49</v>
      </c>
      <c r="L16" s="80" t="s">
        <v>49</v>
      </c>
      <c r="M16" s="80" t="s">
        <v>49</v>
      </c>
      <c r="N16" s="89">
        <f t="shared" si="0"/>
        <v>9</v>
      </c>
      <c r="Q16">
        <f>SUM(Q6:Q15)</f>
        <v>43</v>
      </c>
    </row>
    <row r="17" spans="1:17" ht="24" customHeight="1" x14ac:dyDescent="0.25">
      <c r="A17" s="88">
        <v>13</v>
      </c>
      <c r="B17" s="99" t="s">
        <v>194</v>
      </c>
      <c r="C17" s="96" t="s">
        <v>153</v>
      </c>
      <c r="D17" s="47"/>
      <c r="E17" s="79"/>
      <c r="F17" s="80"/>
      <c r="G17" s="80" t="s">
        <v>49</v>
      </c>
      <c r="H17" s="80" t="s">
        <v>49</v>
      </c>
      <c r="I17" s="80"/>
      <c r="J17" s="80"/>
      <c r="K17" s="80"/>
      <c r="L17" s="80" t="s">
        <v>49</v>
      </c>
      <c r="M17" s="80" t="s">
        <v>49</v>
      </c>
      <c r="N17" s="89">
        <f t="shared" si="0"/>
        <v>4</v>
      </c>
    </row>
    <row r="18" spans="1:17" ht="24" customHeight="1" x14ac:dyDescent="0.25">
      <c r="A18" s="88">
        <v>14</v>
      </c>
      <c r="B18" s="99" t="s">
        <v>195</v>
      </c>
      <c r="C18" s="96" t="s">
        <v>154</v>
      </c>
      <c r="D18" s="47"/>
      <c r="E18" s="79" t="s">
        <v>49</v>
      </c>
      <c r="F18" s="80" t="s">
        <v>49</v>
      </c>
      <c r="G18" s="80" t="s">
        <v>49</v>
      </c>
      <c r="H18" s="80"/>
      <c r="I18" s="80"/>
      <c r="J18" s="80"/>
      <c r="K18" s="80"/>
      <c r="L18" s="80" t="s">
        <v>49</v>
      </c>
      <c r="M18" s="80"/>
      <c r="N18" s="89">
        <f t="shared" si="0"/>
        <v>4</v>
      </c>
    </row>
    <row r="19" spans="1:17" ht="24" customHeight="1" x14ac:dyDescent="0.25">
      <c r="A19" s="88">
        <v>15</v>
      </c>
      <c r="B19" s="99" t="s">
        <v>196</v>
      </c>
      <c r="C19" s="96" t="s">
        <v>155</v>
      </c>
      <c r="D19" s="47"/>
      <c r="E19" s="79" t="s">
        <v>49</v>
      </c>
      <c r="F19" s="80" t="s">
        <v>49</v>
      </c>
      <c r="G19" s="80" t="s">
        <v>49</v>
      </c>
      <c r="H19" s="80" t="s">
        <v>49</v>
      </c>
      <c r="I19" s="80"/>
      <c r="J19" s="80" t="s">
        <v>49</v>
      </c>
      <c r="K19" s="80"/>
      <c r="L19" s="80" t="s">
        <v>49</v>
      </c>
      <c r="M19" s="80" t="s">
        <v>49</v>
      </c>
      <c r="N19" s="89">
        <f t="shared" si="0"/>
        <v>7</v>
      </c>
    </row>
    <row r="20" spans="1:17" ht="24" customHeight="1" x14ac:dyDescent="0.25">
      <c r="A20" s="88">
        <v>16</v>
      </c>
      <c r="B20" s="99" t="s">
        <v>197</v>
      </c>
      <c r="C20" s="96" t="s">
        <v>156</v>
      </c>
      <c r="D20" s="47"/>
      <c r="E20" s="79" t="s">
        <v>49</v>
      </c>
      <c r="F20" s="80" t="s">
        <v>49</v>
      </c>
      <c r="G20" s="80" t="s">
        <v>49</v>
      </c>
      <c r="H20" s="80" t="s">
        <v>49</v>
      </c>
      <c r="I20" s="80" t="s">
        <v>49</v>
      </c>
      <c r="J20" s="80" t="s">
        <v>49</v>
      </c>
      <c r="K20" s="80" t="s">
        <v>49</v>
      </c>
      <c r="L20" s="80" t="s">
        <v>49</v>
      </c>
      <c r="M20" s="80" t="s">
        <v>49</v>
      </c>
      <c r="N20" s="89">
        <f t="shared" si="0"/>
        <v>9</v>
      </c>
    </row>
    <row r="21" spans="1:17" ht="24" customHeight="1" x14ac:dyDescent="0.25">
      <c r="A21" s="88">
        <v>17</v>
      </c>
      <c r="B21" s="99" t="s">
        <v>198</v>
      </c>
      <c r="C21" s="96" t="s">
        <v>157</v>
      </c>
      <c r="D21" s="47"/>
      <c r="E21" s="79" t="s">
        <v>49</v>
      </c>
      <c r="F21" s="80" t="s">
        <v>49</v>
      </c>
      <c r="G21" s="80" t="s">
        <v>49</v>
      </c>
      <c r="H21" s="80"/>
      <c r="I21" s="80" t="s">
        <v>49</v>
      </c>
      <c r="J21" s="80" t="s">
        <v>49</v>
      </c>
      <c r="K21" s="80"/>
      <c r="L21" s="80" t="s">
        <v>49</v>
      </c>
      <c r="M21" s="80" t="s">
        <v>49</v>
      </c>
      <c r="N21" s="89">
        <f t="shared" si="0"/>
        <v>7</v>
      </c>
      <c r="Q21">
        <f>SUM(Q6:Q8)</f>
        <v>8</v>
      </c>
    </row>
    <row r="22" spans="1:17" ht="24" customHeight="1" x14ac:dyDescent="0.25">
      <c r="A22" s="88">
        <v>18</v>
      </c>
      <c r="B22" s="99" t="s">
        <v>199</v>
      </c>
      <c r="C22" s="96" t="s">
        <v>158</v>
      </c>
      <c r="D22" s="47"/>
      <c r="E22" s="79"/>
      <c r="F22" s="80"/>
      <c r="G22" s="80"/>
      <c r="H22" s="80"/>
      <c r="I22" s="80"/>
      <c r="J22" s="80"/>
      <c r="K22" s="80"/>
      <c r="L22" s="80"/>
      <c r="M22" s="80"/>
      <c r="N22" s="89">
        <f t="shared" si="0"/>
        <v>0</v>
      </c>
    </row>
    <row r="23" spans="1:17" ht="24" customHeight="1" x14ac:dyDescent="0.25">
      <c r="A23" s="88">
        <v>19</v>
      </c>
      <c r="B23" s="99" t="s">
        <v>200</v>
      </c>
      <c r="C23" s="96" t="s">
        <v>159</v>
      </c>
      <c r="D23" s="47"/>
      <c r="E23" s="79" t="s">
        <v>49</v>
      </c>
      <c r="F23" s="80" t="s">
        <v>49</v>
      </c>
      <c r="G23" s="80" t="s">
        <v>49</v>
      </c>
      <c r="H23" s="80"/>
      <c r="I23" s="80"/>
      <c r="J23" s="80"/>
      <c r="K23" s="80"/>
      <c r="L23" s="80" t="s">
        <v>49</v>
      </c>
      <c r="M23" s="80"/>
      <c r="N23" s="89">
        <f t="shared" si="0"/>
        <v>4</v>
      </c>
    </row>
    <row r="24" spans="1:17" ht="24" customHeight="1" x14ac:dyDescent="0.25">
      <c r="A24" s="88">
        <v>20</v>
      </c>
      <c r="B24" s="99" t="s">
        <v>201</v>
      </c>
      <c r="C24" s="96" t="s">
        <v>160</v>
      </c>
      <c r="D24" s="47"/>
      <c r="E24" s="79"/>
      <c r="F24" s="80"/>
      <c r="G24" s="80"/>
      <c r="H24" s="80"/>
      <c r="I24" s="80"/>
      <c r="J24" s="80"/>
      <c r="K24" s="80"/>
      <c r="L24" s="80"/>
      <c r="M24" s="80"/>
      <c r="N24" s="89">
        <f t="shared" si="0"/>
        <v>0</v>
      </c>
    </row>
    <row r="25" spans="1:17" ht="24" customHeight="1" x14ac:dyDescent="0.25">
      <c r="A25" s="88">
        <v>21</v>
      </c>
      <c r="B25" s="99" t="s">
        <v>202</v>
      </c>
      <c r="C25" s="96" t="s">
        <v>161</v>
      </c>
      <c r="D25" s="47"/>
      <c r="E25" s="79" t="s">
        <v>49</v>
      </c>
      <c r="F25" s="80" t="s">
        <v>49</v>
      </c>
      <c r="G25" s="80" t="s">
        <v>49</v>
      </c>
      <c r="H25" s="80" t="s">
        <v>49</v>
      </c>
      <c r="I25" s="80" t="s">
        <v>49</v>
      </c>
      <c r="J25" s="80" t="s">
        <v>49</v>
      </c>
      <c r="K25" s="80" t="s">
        <v>49</v>
      </c>
      <c r="L25" s="80" t="s">
        <v>49</v>
      </c>
      <c r="M25" s="80" t="s">
        <v>49</v>
      </c>
      <c r="N25" s="89">
        <f t="shared" si="0"/>
        <v>9</v>
      </c>
    </row>
    <row r="26" spans="1:17" ht="24" customHeight="1" x14ac:dyDescent="0.25">
      <c r="A26" s="88">
        <v>22</v>
      </c>
      <c r="B26" s="99" t="s">
        <v>203</v>
      </c>
      <c r="C26" s="96" t="s">
        <v>162</v>
      </c>
      <c r="D26" s="47"/>
      <c r="E26" s="79" t="s">
        <v>49</v>
      </c>
      <c r="F26" s="80"/>
      <c r="G26" s="80" t="s">
        <v>49</v>
      </c>
      <c r="H26" s="80" t="s">
        <v>49</v>
      </c>
      <c r="I26" s="80" t="s">
        <v>49</v>
      </c>
      <c r="J26" s="80"/>
      <c r="K26" s="80" t="s">
        <v>49</v>
      </c>
      <c r="L26" s="80" t="s">
        <v>49</v>
      </c>
      <c r="M26" s="80" t="s">
        <v>49</v>
      </c>
      <c r="N26" s="89">
        <f t="shared" si="0"/>
        <v>7</v>
      </c>
    </row>
    <row r="27" spans="1:17" ht="24" customHeight="1" x14ac:dyDescent="0.25">
      <c r="A27" s="88">
        <v>23</v>
      </c>
      <c r="B27" s="99" t="s">
        <v>204</v>
      </c>
      <c r="C27" s="96" t="s">
        <v>163</v>
      </c>
      <c r="D27" s="47"/>
      <c r="E27" s="79"/>
      <c r="F27" s="80"/>
      <c r="G27" s="80" t="s">
        <v>49</v>
      </c>
      <c r="H27" s="80" t="s">
        <v>49</v>
      </c>
      <c r="I27" s="80"/>
      <c r="J27" s="80"/>
      <c r="K27" s="80"/>
      <c r="L27" s="80"/>
      <c r="M27" s="80"/>
      <c r="N27" s="89">
        <f t="shared" si="0"/>
        <v>2</v>
      </c>
    </row>
    <row r="28" spans="1:17" ht="24" customHeight="1" x14ac:dyDescent="0.25">
      <c r="A28" s="88">
        <v>24</v>
      </c>
      <c r="B28" s="99" t="s">
        <v>205</v>
      </c>
      <c r="C28" s="96" t="s">
        <v>164</v>
      </c>
      <c r="D28" s="47"/>
      <c r="E28" s="79"/>
      <c r="F28" s="80"/>
      <c r="G28" s="80"/>
      <c r="H28" s="80"/>
      <c r="I28" s="80"/>
      <c r="J28" s="80"/>
      <c r="K28" s="80"/>
      <c r="L28" s="80" t="s">
        <v>49</v>
      </c>
      <c r="M28" s="80"/>
      <c r="N28" s="89">
        <f t="shared" si="0"/>
        <v>1</v>
      </c>
    </row>
    <row r="29" spans="1:17" ht="24" customHeight="1" x14ac:dyDescent="0.25">
      <c r="A29" s="88">
        <v>25</v>
      </c>
      <c r="B29" s="99" t="s">
        <v>206</v>
      </c>
      <c r="C29" s="96" t="s">
        <v>165</v>
      </c>
      <c r="D29" s="47"/>
      <c r="E29" s="79" t="s">
        <v>49</v>
      </c>
      <c r="F29" s="80"/>
      <c r="G29" s="80" t="s">
        <v>49</v>
      </c>
      <c r="H29" s="80" t="s">
        <v>49</v>
      </c>
      <c r="I29" s="80"/>
      <c r="J29" s="80"/>
      <c r="K29" s="80"/>
      <c r="L29" s="80" t="s">
        <v>49</v>
      </c>
      <c r="M29" s="80"/>
      <c r="N29" s="89">
        <f t="shared" si="0"/>
        <v>4</v>
      </c>
    </row>
    <row r="30" spans="1:17" ht="24" customHeight="1" x14ac:dyDescent="0.25">
      <c r="A30" s="88">
        <v>26</v>
      </c>
      <c r="B30" s="99" t="s">
        <v>207</v>
      </c>
      <c r="C30" s="96" t="s">
        <v>166</v>
      </c>
      <c r="D30" s="47"/>
      <c r="E30" s="79"/>
      <c r="F30" s="80" t="s">
        <v>49</v>
      </c>
      <c r="G30" s="80" t="s">
        <v>49</v>
      </c>
      <c r="H30" s="80" t="s">
        <v>49</v>
      </c>
      <c r="I30" s="80"/>
      <c r="J30" s="80"/>
      <c r="K30" s="80" t="s">
        <v>49</v>
      </c>
      <c r="L30" s="80" t="s">
        <v>49</v>
      </c>
      <c r="M30" s="80" t="s">
        <v>49</v>
      </c>
      <c r="N30" s="89">
        <f t="shared" si="0"/>
        <v>6</v>
      </c>
    </row>
    <row r="31" spans="1:17" ht="24" customHeight="1" x14ac:dyDescent="0.25">
      <c r="A31" s="88">
        <v>27</v>
      </c>
      <c r="B31" s="99" t="s">
        <v>208</v>
      </c>
      <c r="C31" s="96" t="s">
        <v>167</v>
      </c>
      <c r="D31" s="47"/>
      <c r="E31" s="79" t="s">
        <v>49</v>
      </c>
      <c r="F31" s="80" t="s">
        <v>49</v>
      </c>
      <c r="G31" s="80" t="s">
        <v>49</v>
      </c>
      <c r="H31" s="80" t="s">
        <v>49</v>
      </c>
      <c r="I31" s="80"/>
      <c r="J31" s="80" t="s">
        <v>49</v>
      </c>
      <c r="K31" s="80" t="s">
        <v>49</v>
      </c>
      <c r="L31" s="80" t="s">
        <v>49</v>
      </c>
      <c r="M31" s="80" t="s">
        <v>49</v>
      </c>
      <c r="N31" s="89">
        <f t="shared" si="0"/>
        <v>8</v>
      </c>
    </row>
    <row r="32" spans="1:17" ht="24" customHeight="1" x14ac:dyDescent="0.25">
      <c r="A32" s="88">
        <v>28</v>
      </c>
      <c r="B32" s="99" t="s">
        <v>209</v>
      </c>
      <c r="C32" s="96" t="s">
        <v>168</v>
      </c>
      <c r="D32" s="47"/>
      <c r="E32" s="79"/>
      <c r="F32" s="80" t="s">
        <v>49</v>
      </c>
      <c r="G32" s="80" t="s">
        <v>49</v>
      </c>
      <c r="H32" s="80"/>
      <c r="I32" s="80" t="s">
        <v>49</v>
      </c>
      <c r="J32" s="80"/>
      <c r="K32" s="80" t="s">
        <v>49</v>
      </c>
      <c r="L32" s="80" t="s">
        <v>49</v>
      </c>
      <c r="M32" s="80" t="s">
        <v>49</v>
      </c>
      <c r="N32" s="89">
        <f t="shared" si="0"/>
        <v>6</v>
      </c>
    </row>
    <row r="33" spans="1:14" ht="24" customHeight="1" x14ac:dyDescent="0.25">
      <c r="A33" s="88">
        <v>29</v>
      </c>
      <c r="B33" s="99" t="s">
        <v>210</v>
      </c>
      <c r="C33" s="96" t="s">
        <v>169</v>
      </c>
      <c r="D33" s="47"/>
      <c r="E33" s="79" t="s">
        <v>49</v>
      </c>
      <c r="F33" s="80"/>
      <c r="G33" s="80" t="s">
        <v>49</v>
      </c>
      <c r="H33" s="80" t="s">
        <v>49</v>
      </c>
      <c r="I33" s="80"/>
      <c r="J33" s="80"/>
      <c r="K33" s="80"/>
      <c r="L33" s="80" t="s">
        <v>49</v>
      </c>
      <c r="M33" s="80"/>
      <c r="N33" s="89">
        <f t="shared" si="0"/>
        <v>4</v>
      </c>
    </row>
    <row r="34" spans="1:14" ht="24" customHeight="1" x14ac:dyDescent="0.25">
      <c r="A34" s="88">
        <v>30</v>
      </c>
      <c r="B34" s="99" t="s">
        <v>211</v>
      </c>
      <c r="C34" s="96" t="s">
        <v>170</v>
      </c>
      <c r="D34" s="47"/>
      <c r="E34" s="79"/>
      <c r="F34" s="80"/>
      <c r="G34" s="80"/>
      <c r="H34" s="80"/>
      <c r="I34" s="80"/>
      <c r="J34" s="80"/>
      <c r="K34" s="80"/>
      <c r="L34" s="80"/>
      <c r="M34" s="80"/>
      <c r="N34" s="89">
        <f t="shared" si="0"/>
        <v>0</v>
      </c>
    </row>
    <row r="35" spans="1:14" ht="24" customHeight="1" x14ac:dyDescent="0.25">
      <c r="A35" s="88">
        <v>31</v>
      </c>
      <c r="B35" s="99" t="s">
        <v>212</v>
      </c>
      <c r="C35" s="96" t="s">
        <v>171</v>
      </c>
      <c r="D35" s="47"/>
      <c r="E35" s="79"/>
      <c r="F35" s="80"/>
      <c r="G35" s="80" t="s">
        <v>49</v>
      </c>
      <c r="H35" s="80"/>
      <c r="I35" s="80"/>
      <c r="J35" s="80"/>
      <c r="K35" s="80"/>
      <c r="L35" s="80" t="s">
        <v>49</v>
      </c>
      <c r="M35" s="80"/>
      <c r="N35" s="89">
        <f t="shared" si="0"/>
        <v>2</v>
      </c>
    </row>
    <row r="36" spans="1:14" ht="24" customHeight="1" x14ac:dyDescent="0.25">
      <c r="A36" s="88">
        <v>32</v>
      </c>
      <c r="B36" s="99" t="s">
        <v>213</v>
      </c>
      <c r="C36" s="96" t="s">
        <v>172</v>
      </c>
      <c r="D36" s="47"/>
      <c r="E36" s="79" t="s">
        <v>49</v>
      </c>
      <c r="F36" s="80" t="s">
        <v>49</v>
      </c>
      <c r="G36" s="80" t="s">
        <v>49</v>
      </c>
      <c r="H36" s="80" t="s">
        <v>49</v>
      </c>
      <c r="I36" s="80" t="s">
        <v>49</v>
      </c>
      <c r="J36" s="80"/>
      <c r="K36" s="80" t="s">
        <v>49</v>
      </c>
      <c r="L36" s="80" t="s">
        <v>49</v>
      </c>
      <c r="M36" s="80" t="s">
        <v>49</v>
      </c>
      <c r="N36" s="89">
        <f t="shared" si="0"/>
        <v>8</v>
      </c>
    </row>
    <row r="37" spans="1:14" ht="24" customHeight="1" x14ac:dyDescent="0.25">
      <c r="A37" s="88">
        <v>33</v>
      </c>
      <c r="B37" s="99" t="s">
        <v>214</v>
      </c>
      <c r="C37" s="96" t="s">
        <v>173</v>
      </c>
      <c r="D37" s="47"/>
      <c r="E37" s="79" t="s">
        <v>49</v>
      </c>
      <c r="F37" s="80" t="s">
        <v>49</v>
      </c>
      <c r="G37" s="80" t="s">
        <v>49</v>
      </c>
      <c r="H37" s="80" t="s">
        <v>49</v>
      </c>
      <c r="I37" s="80" t="s">
        <v>49</v>
      </c>
      <c r="J37" s="80" t="s">
        <v>49</v>
      </c>
      <c r="K37" s="80"/>
      <c r="L37" s="80" t="s">
        <v>49</v>
      </c>
      <c r="M37" s="80" t="s">
        <v>49</v>
      </c>
      <c r="N37" s="89">
        <f t="shared" si="0"/>
        <v>8</v>
      </c>
    </row>
    <row r="38" spans="1:14" ht="24" customHeight="1" x14ac:dyDescent="0.25">
      <c r="A38" s="88">
        <v>34</v>
      </c>
      <c r="B38" s="99" t="s">
        <v>215</v>
      </c>
      <c r="C38" s="96" t="s">
        <v>174</v>
      </c>
      <c r="D38" s="47"/>
      <c r="E38" s="79" t="s">
        <v>49</v>
      </c>
      <c r="F38" s="80" t="s">
        <v>49</v>
      </c>
      <c r="G38" s="80" t="s">
        <v>49</v>
      </c>
      <c r="H38" s="80"/>
      <c r="I38" s="80" t="s">
        <v>49</v>
      </c>
      <c r="J38" s="80"/>
      <c r="K38" s="80"/>
      <c r="L38" s="80"/>
      <c r="M38" s="80" t="s">
        <v>49</v>
      </c>
      <c r="N38" s="89">
        <f t="shared" si="0"/>
        <v>5</v>
      </c>
    </row>
    <row r="39" spans="1:14" ht="24" customHeight="1" x14ac:dyDescent="0.25">
      <c r="A39" s="88">
        <v>35</v>
      </c>
      <c r="B39" s="99" t="s">
        <v>216</v>
      </c>
      <c r="C39" s="96" t="s">
        <v>175</v>
      </c>
      <c r="D39" s="48"/>
      <c r="E39" s="79"/>
      <c r="F39" s="80"/>
      <c r="G39" s="80" t="s">
        <v>49</v>
      </c>
      <c r="H39" s="80" t="s">
        <v>49</v>
      </c>
      <c r="I39" s="80"/>
      <c r="J39" s="80"/>
      <c r="K39" s="80"/>
      <c r="L39" s="80" t="s">
        <v>49</v>
      </c>
      <c r="M39" s="80"/>
      <c r="N39" s="89">
        <f t="shared" si="0"/>
        <v>3</v>
      </c>
    </row>
    <row r="40" spans="1:14" ht="15.75" x14ac:dyDescent="0.25">
      <c r="A40" s="88">
        <v>36</v>
      </c>
      <c r="B40" s="99" t="s">
        <v>217</v>
      </c>
      <c r="C40" s="96" t="s">
        <v>176</v>
      </c>
      <c r="D40" s="52"/>
      <c r="E40" s="79"/>
      <c r="F40" s="80"/>
      <c r="G40" s="80" t="s">
        <v>49</v>
      </c>
      <c r="H40" s="80" t="s">
        <v>49</v>
      </c>
      <c r="I40" s="80"/>
      <c r="J40" s="80"/>
      <c r="K40" s="80"/>
      <c r="L40" s="80"/>
      <c r="M40" s="80" t="s">
        <v>49</v>
      </c>
      <c r="N40" s="89">
        <f t="shared" si="0"/>
        <v>3</v>
      </c>
    </row>
    <row r="41" spans="1:14" ht="15.75" x14ac:dyDescent="0.25">
      <c r="A41" s="88">
        <v>37</v>
      </c>
      <c r="B41" s="99" t="s">
        <v>218</v>
      </c>
      <c r="C41" s="96" t="s">
        <v>177</v>
      </c>
      <c r="D41" s="53"/>
      <c r="E41" s="79" t="s">
        <v>49</v>
      </c>
      <c r="F41" s="80" t="s">
        <v>49</v>
      </c>
      <c r="G41" s="80" t="s">
        <v>49</v>
      </c>
      <c r="H41" s="80" t="s">
        <v>49</v>
      </c>
      <c r="I41" s="80"/>
      <c r="J41" s="80" t="s">
        <v>49</v>
      </c>
      <c r="K41" s="80" t="s">
        <v>49</v>
      </c>
      <c r="L41" s="80" t="s">
        <v>49</v>
      </c>
      <c r="M41" s="80" t="s">
        <v>49</v>
      </c>
      <c r="N41" s="89">
        <f t="shared" si="0"/>
        <v>8</v>
      </c>
    </row>
    <row r="42" spans="1:14" ht="16.5" thickBot="1" x14ac:dyDescent="0.3">
      <c r="A42" s="88">
        <v>38</v>
      </c>
      <c r="B42" s="99" t="s">
        <v>219</v>
      </c>
      <c r="C42" s="96" t="s">
        <v>178</v>
      </c>
      <c r="D42" s="54"/>
      <c r="E42" s="81"/>
      <c r="F42" s="82"/>
      <c r="G42" s="82" t="s">
        <v>49</v>
      </c>
      <c r="H42" s="82"/>
      <c r="I42" s="82"/>
      <c r="J42" s="82"/>
      <c r="K42" s="82" t="s">
        <v>49</v>
      </c>
      <c r="L42" s="82"/>
      <c r="M42" s="82"/>
      <c r="N42" s="89">
        <f t="shared" si="0"/>
        <v>2</v>
      </c>
    </row>
    <row r="43" spans="1:14" ht="15.75" x14ac:dyDescent="0.25">
      <c r="A43" s="88">
        <v>39</v>
      </c>
      <c r="B43" s="99" t="s">
        <v>220</v>
      </c>
      <c r="C43" s="96" t="s">
        <v>179</v>
      </c>
      <c r="E43" s="84"/>
      <c r="F43" s="82" t="s">
        <v>49</v>
      </c>
      <c r="G43" s="82"/>
      <c r="H43" s="82"/>
      <c r="I43" s="82"/>
      <c r="J43" s="82"/>
      <c r="K43" s="82" t="s">
        <v>49</v>
      </c>
      <c r="L43" s="82" t="s">
        <v>49</v>
      </c>
      <c r="M43" s="82" t="s">
        <v>49</v>
      </c>
      <c r="N43" s="89">
        <f t="shared" si="0"/>
        <v>4</v>
      </c>
    </row>
    <row r="44" spans="1:14" ht="15.75" x14ac:dyDescent="0.25">
      <c r="A44" s="88">
        <v>40</v>
      </c>
      <c r="B44" s="99" t="s">
        <v>221</v>
      </c>
      <c r="C44" s="96" t="s">
        <v>180</v>
      </c>
      <c r="E44" s="86" t="s">
        <v>49</v>
      </c>
      <c r="F44" s="82" t="s">
        <v>49</v>
      </c>
      <c r="G44" s="82" t="s">
        <v>49</v>
      </c>
      <c r="H44" s="82"/>
      <c r="I44" s="82" t="s">
        <v>49</v>
      </c>
      <c r="J44" s="82"/>
      <c r="K44" s="82" t="s">
        <v>49</v>
      </c>
      <c r="L44" s="82" t="s">
        <v>49</v>
      </c>
      <c r="M44" s="82"/>
      <c r="N44" s="89">
        <f t="shared" si="0"/>
        <v>6</v>
      </c>
    </row>
    <row r="45" spans="1:14" ht="16.5" thickBot="1" x14ac:dyDescent="0.3">
      <c r="A45" s="88">
        <v>41</v>
      </c>
      <c r="B45" s="100" t="s">
        <v>222</v>
      </c>
      <c r="C45" s="97" t="s">
        <v>181</v>
      </c>
      <c r="E45" s="87" t="s">
        <v>49</v>
      </c>
      <c r="F45" s="82" t="s">
        <v>49</v>
      </c>
      <c r="G45" s="82" t="s">
        <v>49</v>
      </c>
      <c r="H45" s="82" t="s">
        <v>49</v>
      </c>
      <c r="I45" s="82"/>
      <c r="J45" s="82" t="s">
        <v>49</v>
      </c>
      <c r="K45" s="82" t="s">
        <v>49</v>
      </c>
      <c r="L45" s="82" t="s">
        <v>49</v>
      </c>
      <c r="M45" s="82" t="s">
        <v>49</v>
      </c>
      <c r="N45" s="89">
        <f t="shared" si="0"/>
        <v>8</v>
      </c>
    </row>
    <row r="46" spans="1:14" ht="16.5" thickBot="1" x14ac:dyDescent="0.3">
      <c r="A46" s="88">
        <v>42</v>
      </c>
      <c r="B46" s="100"/>
      <c r="C46" s="97" t="s">
        <v>223</v>
      </c>
      <c r="E46" s="87" t="s">
        <v>49</v>
      </c>
      <c r="F46" s="82" t="s">
        <v>49</v>
      </c>
      <c r="G46" s="82" t="s">
        <v>49</v>
      </c>
      <c r="H46" s="82" t="s">
        <v>49</v>
      </c>
      <c r="I46" s="82"/>
      <c r="J46" s="82"/>
      <c r="K46" s="82" t="s">
        <v>49</v>
      </c>
      <c r="L46" s="82" t="s">
        <v>49</v>
      </c>
      <c r="M46" s="82"/>
      <c r="N46" s="89">
        <f t="shared" si="0"/>
        <v>6</v>
      </c>
    </row>
    <row r="47" spans="1:14" ht="16.5" thickBot="1" x14ac:dyDescent="0.3">
      <c r="A47" s="88">
        <v>43</v>
      </c>
      <c r="B47" s="100"/>
      <c r="C47" s="97" t="s">
        <v>224</v>
      </c>
      <c r="E47" s="87" t="s">
        <v>49</v>
      </c>
      <c r="F47" s="82" t="s">
        <v>49</v>
      </c>
      <c r="G47" s="82" t="s">
        <v>49</v>
      </c>
      <c r="H47" s="82" t="s">
        <v>49</v>
      </c>
      <c r="I47" s="82" t="s">
        <v>49</v>
      </c>
      <c r="J47" s="82" t="s">
        <v>49</v>
      </c>
      <c r="K47" s="82" t="s">
        <v>49</v>
      </c>
      <c r="L47" s="82" t="s">
        <v>49</v>
      </c>
      <c r="M47" s="82" t="s">
        <v>49</v>
      </c>
      <c r="N47" s="89">
        <f t="shared" si="0"/>
        <v>9</v>
      </c>
    </row>
  </sheetData>
  <mergeCells count="6">
    <mergeCell ref="N1:N4"/>
    <mergeCell ref="A1:B1"/>
    <mergeCell ref="A2:B2"/>
    <mergeCell ref="A3:A4"/>
    <mergeCell ref="B3:B4"/>
    <mergeCell ref="F1:M2"/>
  </mergeCells>
  <conditionalFormatting sqref="E5:L40">
    <cfRule type="cellIs" dxfId="1" priority="2" operator="equal">
      <formula>$G$6</formula>
    </cfRule>
  </conditionalFormatting>
  <conditionalFormatting sqref="F5:M47">
    <cfRule type="cellIs" dxfId="0" priority="1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L26:M27"/>
  <sheetViews>
    <sheetView topLeftCell="A28" workbookViewId="0">
      <selection activeCell="D5" sqref="D5"/>
    </sheetView>
  </sheetViews>
  <sheetFormatPr baseColWidth="10" defaultRowHeight="15" x14ac:dyDescent="0.25"/>
  <sheetData>
    <row r="26" spans="12:13" x14ac:dyDescent="0.25">
      <c r="L26">
        <v>18</v>
      </c>
      <c r="M26" s="58">
        <f>L26/35</f>
        <v>0.51428571428571423</v>
      </c>
    </row>
    <row r="27" spans="12:13" x14ac:dyDescent="0.25">
      <c r="L27">
        <f>35-18</f>
        <v>17</v>
      </c>
      <c r="M27" s="58">
        <f>L27/35</f>
        <v>0.48571428571428571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42"/>
  <sheetViews>
    <sheetView topLeftCell="A24" workbookViewId="0">
      <selection activeCell="D5" sqref="D5"/>
    </sheetView>
  </sheetViews>
  <sheetFormatPr baseColWidth="10" defaultRowHeight="15" x14ac:dyDescent="0.25"/>
  <cols>
    <col min="3" max="3" width="13.140625" customWidth="1"/>
  </cols>
  <sheetData>
    <row r="3" spans="2:4" x14ac:dyDescent="0.25">
      <c r="B3" s="93" t="s">
        <v>137</v>
      </c>
      <c r="C3" s="93" t="s">
        <v>138</v>
      </c>
      <c r="D3" s="92" t="s">
        <v>47</v>
      </c>
    </row>
    <row r="4" spans="2:4" x14ac:dyDescent="0.25">
      <c r="B4" s="57" t="s">
        <v>24</v>
      </c>
      <c r="C4">
        <f>COUNTIF('Estadisticas IPERIODO'!$N$5:$N$47,"0")</f>
        <v>3</v>
      </c>
      <c r="D4" s="90">
        <f>C4/$C$14</f>
        <v>6.9767441860465115E-2</v>
      </c>
    </row>
    <row r="5" spans="2:4" x14ac:dyDescent="0.25">
      <c r="B5" s="57" t="s">
        <v>25</v>
      </c>
      <c r="C5">
        <f>COUNTIF('Estadisticas IPERIODO'!$N$5:$N$47,"1")</f>
        <v>2</v>
      </c>
      <c r="D5" s="90">
        <f t="shared" ref="D5:D13" si="0">C5/$C$14</f>
        <v>4.6511627906976744E-2</v>
      </c>
    </row>
    <row r="6" spans="2:4" x14ac:dyDescent="0.25">
      <c r="B6" s="57" t="s">
        <v>26</v>
      </c>
      <c r="C6">
        <f>COUNTIF('Estadisticas IPERIODO'!$N$5:$N$47,"2")</f>
        <v>3</v>
      </c>
      <c r="D6" s="90">
        <f t="shared" si="0"/>
        <v>6.9767441860465115E-2</v>
      </c>
    </row>
    <row r="7" spans="2:4" x14ac:dyDescent="0.25">
      <c r="B7" s="57" t="s">
        <v>27</v>
      </c>
      <c r="C7">
        <f>COUNTIF('Estadisticas IPERIODO'!$N$5:$N$47,"3")</f>
        <v>3</v>
      </c>
      <c r="D7" s="90">
        <f t="shared" si="0"/>
        <v>6.9767441860465115E-2</v>
      </c>
    </row>
    <row r="8" spans="2:4" x14ac:dyDescent="0.25">
      <c r="B8" s="57" t="s">
        <v>28</v>
      </c>
      <c r="C8">
        <f>COUNTIF('Estadisticas IPERIODO'!$N$5:$N$47,"4")</f>
        <v>10</v>
      </c>
      <c r="D8" s="90">
        <f t="shared" si="0"/>
        <v>0.23255813953488372</v>
      </c>
    </row>
    <row r="9" spans="2:4" x14ac:dyDescent="0.25">
      <c r="B9" s="57" t="s">
        <v>29</v>
      </c>
      <c r="C9">
        <f>COUNTIF('Estadisticas IPERIODO'!$N$5:$N$47,"5")</f>
        <v>1</v>
      </c>
      <c r="D9" s="90">
        <f t="shared" si="0"/>
        <v>2.3255813953488372E-2</v>
      </c>
    </row>
    <row r="10" spans="2:4" x14ac:dyDescent="0.25">
      <c r="B10" s="57" t="s">
        <v>30</v>
      </c>
      <c r="C10">
        <f>COUNTIF('Estadisticas IPERIODO'!$N$5:$N$47,"6")</f>
        <v>6</v>
      </c>
      <c r="D10" s="90">
        <f t="shared" si="0"/>
        <v>0.13953488372093023</v>
      </c>
    </row>
    <row r="11" spans="2:4" x14ac:dyDescent="0.25">
      <c r="B11" s="57" t="s">
        <v>31</v>
      </c>
      <c r="C11">
        <f>COUNTIF('Estadisticas IPERIODO'!$N$5:$N$47,"7")</f>
        <v>3</v>
      </c>
      <c r="D11" s="90">
        <f t="shared" si="0"/>
        <v>6.9767441860465115E-2</v>
      </c>
    </row>
    <row r="12" spans="2:4" x14ac:dyDescent="0.25">
      <c r="B12" s="57" t="s">
        <v>32</v>
      </c>
      <c r="C12">
        <f>COUNTIF('Estadisticas IPERIODO'!$N$5:$N$47,"8")</f>
        <v>6</v>
      </c>
      <c r="D12" s="90">
        <f t="shared" si="0"/>
        <v>0.13953488372093023</v>
      </c>
    </row>
    <row r="13" spans="2:4" x14ac:dyDescent="0.25">
      <c r="B13" s="57" t="s">
        <v>33</v>
      </c>
      <c r="C13">
        <f>COUNTIF('Estadisticas IPERIODO'!$N$5:$N$47,"9")</f>
        <v>6</v>
      </c>
      <c r="D13" s="90">
        <f t="shared" si="0"/>
        <v>0.13953488372093023</v>
      </c>
    </row>
    <row r="14" spans="2:4" x14ac:dyDescent="0.25">
      <c r="C14">
        <f>SUM(C4:C13)</f>
        <v>43</v>
      </c>
      <c r="D14" s="91">
        <f>SUM(D4:D13)</f>
        <v>1</v>
      </c>
    </row>
    <row r="25" spans="1:3" x14ac:dyDescent="0.25">
      <c r="A25" t="s">
        <v>139</v>
      </c>
      <c r="B25">
        <f>SUM(C4)</f>
        <v>3</v>
      </c>
      <c r="C25" s="91">
        <f>B25/$C$14</f>
        <v>6.9767441860465115E-2</v>
      </c>
    </row>
    <row r="26" spans="1:3" x14ac:dyDescent="0.25">
      <c r="A26" t="s">
        <v>140</v>
      </c>
      <c r="B26">
        <f>SUM(C5:C13)</f>
        <v>40</v>
      </c>
      <c r="C26" s="91">
        <f>B26/$C$14</f>
        <v>0.93023255813953487</v>
      </c>
    </row>
    <row r="40" spans="2:3" x14ac:dyDescent="0.25">
      <c r="B40">
        <f>SUM(C4:C6)</f>
        <v>8</v>
      </c>
      <c r="C40" s="94">
        <f>B40/$B$42</f>
        <v>0.18604651162790697</v>
      </c>
    </row>
    <row r="41" spans="2:3" x14ac:dyDescent="0.25">
      <c r="B41">
        <f>SUM(C7:C13)</f>
        <v>35</v>
      </c>
      <c r="C41" s="94">
        <f>B41/$B$42</f>
        <v>0.81395348837209303</v>
      </c>
    </row>
    <row r="42" spans="2:3" x14ac:dyDescent="0.25">
      <c r="B42">
        <f>SUM(B40:B41)</f>
        <v>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Informe 6-5</vt:lpstr>
      <vt:lpstr>informe PARCIAL 3 periodo</vt:lpstr>
      <vt:lpstr>INFORME PARCIAL 3ER PERIODO</vt:lpstr>
      <vt:lpstr>Informe</vt:lpstr>
      <vt:lpstr>Hoja3</vt:lpstr>
      <vt:lpstr>Estadisticas</vt:lpstr>
      <vt:lpstr>Estadisticas IPERIODO</vt:lpstr>
      <vt:lpstr>Hoja2</vt:lpstr>
      <vt:lpstr>Hoja1</vt:lpstr>
      <vt:lpstr>Estadisticas!BDNOTAS</vt:lpstr>
      <vt:lpstr>'Estadisticas IPERIODO'!BDNOTAS</vt:lpstr>
      <vt:lpstr>BDNOTAS</vt:lpstr>
    </vt:vector>
  </TitlesOfParts>
  <Company>SECRETARIA DE EDUCACION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ANGELA RESTREPO</dc:creator>
  <cp:lastModifiedBy>Sofía Ospina</cp:lastModifiedBy>
  <cp:lastPrinted>2017-03-09T12:25:03Z</cp:lastPrinted>
  <dcterms:created xsi:type="dcterms:W3CDTF">2013-04-17T20:00:56Z</dcterms:created>
  <dcterms:modified xsi:type="dcterms:W3CDTF">2021-10-28T19:40:28Z</dcterms:modified>
</cp:coreProperties>
</file>